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4000" windowHeight="9525" activeTab="0"/>
  </bookViews>
  <sheets>
    <sheet name="Költségvetés" sheetId="1" r:id="rId1"/>
    <sheet name="felügyeleti díj" sheetId="2" r:id="rId2"/>
  </sheets>
  <definedNames>
    <definedName name="_xlnm._FilterDatabase" localSheetId="0" hidden="1">'Költségvetés'!$H$1:$J$106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<sst xmlns="http://schemas.openxmlformats.org/spreadsheetml/2006/main" count="237" uniqueCount="124">
  <si>
    <t>1. A költségvetést megalapozó alapadatok és az alapokra bontások levezetés</t>
  </si>
  <si>
    <t>BEVÉTELEK összesen (jogdíjalap)</t>
  </si>
  <si>
    <t>01. EMMI-től jogdíjkeret</t>
  </si>
  <si>
    <t>02. Tagdíjak közvetlenül a jogdíjalapot növelik felhasználása arányosan történik</t>
  </si>
  <si>
    <t xml:space="preserve">03. Arányosítandó kamatok </t>
  </si>
  <si>
    <t>04.visszaírt értékvesztés</t>
  </si>
  <si>
    <t>05. különféle egyéb bevételek (kerekítése5)</t>
  </si>
  <si>
    <t>06. 20xx-es kölcsönzés újrafelosztása</t>
  </si>
  <si>
    <t>07. korábban már elköltött alap</t>
  </si>
  <si>
    <t>Alapok</t>
  </si>
  <si>
    <t>Eredeti</t>
  </si>
  <si>
    <t>Közvetlen felosztás</t>
  </si>
  <si>
    <t>Együtt</t>
  </si>
  <si>
    <t>01.Jogdíjalap</t>
  </si>
  <si>
    <t>segéd a korrigáláshoz</t>
  </si>
  <si>
    <t xml:space="preserve">02 Általános kezelési költség </t>
  </si>
  <si>
    <t>03. Jogdíj járulékai (09*0,195)</t>
  </si>
  <si>
    <t>04. Egyéb jogdíjjal összefüggő költség</t>
  </si>
  <si>
    <t>05. Jogdíj kezelési költség összes (03+04)</t>
  </si>
  <si>
    <t>06. Felosztható jogdíjalap (01-02-05)</t>
  </si>
  <si>
    <t xml:space="preserve">07. Tartalék Alap </t>
  </si>
  <si>
    <t xml:space="preserve">08. Ténylegesen felosztható jogdíjalap     (06-07)  </t>
  </si>
  <si>
    <t>09. Kifizethető jogdíjalap (minium: 08. sor*0,9)</t>
  </si>
  <si>
    <t>10. Kulturális Alap (maximum: 08. sor*5%)</t>
  </si>
  <si>
    <t>11. Szociális Alap (maximum: 08. sor*5%)</t>
  </si>
  <si>
    <t>12. Kezelési költség összesen (02 + 05)</t>
  </si>
  <si>
    <t>13. Mindösszesen (07+08+12)</t>
  </si>
  <si>
    <t xml:space="preserve">Megjegyzés: (1)Ténylegesen felosztható jogdíjalap = (1.sor - 02.sor – 04.sor – 07.sor):(1,0 + 0,22*0,9)                                (2) Általános kezelési költségre 25Mft:90Mft*133.000, többi ténylegesen felosztható jogdíjalap
</t>
  </si>
  <si>
    <t>Közvetett felosztás</t>
  </si>
  <si>
    <t>Felosztások utáni alapok</t>
  </si>
  <si>
    <t>03. Jogdíj járulékai (08*0,195)</t>
  </si>
  <si>
    <t>12. Kezelési költség összesen (02 + 03)</t>
  </si>
  <si>
    <t>13. Mindösszesen jogdíjalap (07+08+12)</t>
  </si>
  <si>
    <t xml:space="preserve">Megjegyzés: (1) Számítása
Felosztandó bevételek
- kamat 1 286 720
Összes bevétel közvetlen összesen 100 005 729, ebből ténylegesen felosztható jogdíjalap 51 887 000
Ténylegesen felosztható jogdíjalapra jutó kamat aránya: 51 887 000 : 100 005 729 = 0,5188
Ténylegesen felosztható jogdíjalapra jutó kamat aránya: 1 286 720*0,5188 = 667 500,
Kezelési költségre jutó kamat: 1 286 720 – 667 500 = 619 220.
</t>
  </si>
  <si>
    <r>
      <t>A.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BEVÉTELEK</t>
    </r>
  </si>
  <si>
    <t>01.Jogdíjalap (felosztás után = 0)</t>
  </si>
  <si>
    <t>09. Kifizethető jogdíjalap (minimum: 06. sor*0,9)</t>
  </si>
  <si>
    <t>10. Kulturális Alap (maximum: 06. sor*0,1*0,5)</t>
  </si>
  <si>
    <t>11. Szociális Alap (maximum: 06. sor*0,1*0,5)</t>
  </si>
  <si>
    <t>12. Kezelési költség összesen (02 + 03 + 04)</t>
  </si>
  <si>
    <t>13. Bevételek összesen (07+08+12)</t>
  </si>
  <si>
    <r>
      <t>B.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KIADÁSOK</t>
    </r>
  </si>
  <si>
    <t>01.Jogdíjak</t>
  </si>
  <si>
    <t>Jogdíjak</t>
  </si>
  <si>
    <t>Tartalékalap</t>
  </si>
  <si>
    <t>Kulturális támogatás – NKA</t>
  </si>
  <si>
    <t>Szociális támogatás</t>
  </si>
  <si>
    <t>Működési költségek (02+07)</t>
  </si>
  <si>
    <t>02.Jogdíjak kifizetésének költségei</t>
  </si>
  <si>
    <t>Járulékok</t>
  </si>
  <si>
    <t>Járulékok tartalékalapra</t>
  </si>
  <si>
    <t>Könyvelés, bérszámfejtés</t>
  </si>
  <si>
    <t>Banki és postaköltségek</t>
  </si>
  <si>
    <t>SZTNH felügyeleti díj (tényleges bevétel 0,5% és 0,3%)</t>
  </si>
  <si>
    <t>03. Jogdíjak és jogdíjak kifizetésének közvetlen költségei összesen (01+02)</t>
  </si>
  <si>
    <t>04. Személyi jellegű kifizetések és járulékaik</t>
  </si>
  <si>
    <t xml:space="preserve">Rendszeres személyi jellegű kifizetések és járulékaik </t>
  </si>
  <si>
    <t xml:space="preserve">Eseti személyi jellegű kifizetések és járulékaik </t>
  </si>
  <si>
    <t>05. Dologi kiadások</t>
  </si>
  <si>
    <t>Rendszeres kiadások (iroda, kommunikáció, könyvelés stb.)</t>
  </si>
  <si>
    <t>Egyszeri költségek (informatikai rendszer, útiköltség)</t>
  </si>
  <si>
    <t>06. Felhalmozási kiadások (számítógépek, szerver)</t>
  </si>
  <si>
    <t>07. A jogkezelés általános kezelési költségei összesen (04+05+06)</t>
  </si>
  <si>
    <t>08.Kiadások mindösszesen (03+07)</t>
  </si>
  <si>
    <t>0,5%</t>
  </si>
  <si>
    <t>0,3%</t>
  </si>
  <si>
    <t>ÉRTÉKESÍTÉS ÁRBEVÉTELE ÉS BEVÉTELEK</t>
  </si>
  <si>
    <t>K</t>
  </si>
  <si>
    <t>BELFÖLDI ÉRTÉKESÍTÉS ÁRBEVÉTELE</t>
  </si>
  <si>
    <t>Működési bevétel</t>
  </si>
  <si>
    <t>Tagdíjbevétel</t>
  </si>
  <si>
    <t>EGYÉB BEVÉTELEK</t>
  </si>
  <si>
    <t>Visszafizetési kötelezettség nélkül kapott támogatás, juttatás</t>
  </si>
  <si>
    <t>Költségvetésből kapott támogatás, juttatás</t>
  </si>
  <si>
    <t>Magánszemélytől kapott céltámogatás</t>
  </si>
  <si>
    <t>Beruházási támogatás</t>
  </si>
  <si>
    <t>Beruházási támogatás elhatárolt</t>
  </si>
  <si>
    <t>Berhuházási támogatás adott évi</t>
  </si>
  <si>
    <t>Jogdíj kezelésre kapott támogatás</t>
  </si>
  <si>
    <t>Jogdíj kezelési költség nélkül</t>
  </si>
  <si>
    <t>Ténylegesen levont kezelési költség jogdíjbevétel</t>
  </si>
  <si>
    <t>Előző évben elhatárolt kezelési költség jogdíjbevétele</t>
  </si>
  <si>
    <t>Általáno működés kezelési költség elhatárolása</t>
  </si>
  <si>
    <t>Kifizetéssel összefüggő kezelési költség</t>
  </si>
  <si>
    <t>Különféle egyéb bevételek</t>
  </si>
  <si>
    <t>Pénztár kerekítési nyeresége</t>
  </si>
  <si>
    <t>PÉNZÜGYI MŰVELETEK BEVÉTELEI</t>
  </si>
  <si>
    <t>Egyéb kapott (járó) kamatok és kamatjellegű bevételek</t>
  </si>
  <si>
    <t>Forgóeszk. között kimutatott kölcsön, váltókövetel., pénzeszköz kamata</t>
  </si>
  <si>
    <t>Átváltási, értékeléskori árfolyamnyereség</t>
  </si>
  <si>
    <t>Deviza- és valutakészletek forintra átváltásának árfolyamnyeresége</t>
  </si>
  <si>
    <t>Pályázati regisztrációs díjjak</t>
  </si>
  <si>
    <t>9679241</t>
  </si>
  <si>
    <t>9679242</t>
  </si>
  <si>
    <t xml:space="preserve">2. A 2021. évi költségvetés                                                    </t>
  </si>
  <si>
    <t>2021-ban figyelembe vehető bevételek, maradványok</t>
  </si>
  <si>
    <t>2021-ben figyelembe vehető bevételek, maradványok</t>
  </si>
  <si>
    <t>2021. évi közvetett keretfelosztás a 2020. évben befolyt felosztandó bevételek (kamat) alapján</t>
  </si>
  <si>
    <t>91</t>
  </si>
  <si>
    <t>911</t>
  </si>
  <si>
    <t>919</t>
  </si>
  <si>
    <t>96</t>
  </si>
  <si>
    <t>967</t>
  </si>
  <si>
    <t>9671</t>
  </si>
  <si>
    <t>9673</t>
  </si>
  <si>
    <t>Elkülönített alapoktól kapott támogatás, juttatás</t>
  </si>
  <si>
    <t>9677</t>
  </si>
  <si>
    <t>96771</t>
  </si>
  <si>
    <t>96772</t>
  </si>
  <si>
    <t>9679</t>
  </si>
  <si>
    <t>967921</t>
  </si>
  <si>
    <t>967924</t>
  </si>
  <si>
    <t>969</t>
  </si>
  <si>
    <t>9696</t>
  </si>
  <si>
    <t>97</t>
  </si>
  <si>
    <t>974</t>
  </si>
  <si>
    <t>9741</t>
  </si>
  <si>
    <t>976</t>
  </si>
  <si>
    <t>T</t>
  </si>
  <si>
    <t>9761</t>
  </si>
  <si>
    <t>Költségvetésből jön</t>
  </si>
  <si>
    <t>Felügyeleti díj jön ide E29-es cella manuálisan</t>
  </si>
  <si>
    <t>A MISZJE 2022. évi költségvetés végleges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</si>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</sst>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.00\ [$Ft-40E]_-;\-* #,##0.00\ [$Ft-40E]_-;_-* &quot;-&quot;??\ [$Ft-40E]_-;_-@_-"/>
    <numFmt numFmtId="166" formatCode="0.0000%"/>
    <numFmt numFmtId="167" formatCode="0.00000%"/>
    <numFmt numFmtId="168" formatCode="_-* #,##0\ &quot;Ft&quot;_-;\-* #,##0\ &quot;Ft&quot;_-;_-* &quot;-&quot;??\ &quot;Ft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20" applyProtection="1">
      <alignment/>
      <protection locked="0"/>
    </xf>
    <xf numFmtId="0" fontId="2" fillId="0" borderId="0" xfId="20">
      <alignment/>
      <protection/>
    </xf>
    <xf numFmtId="0" fontId="4" fillId="0" borderId="0" xfId="20" applyFont="1" applyProtection="1">
      <alignment/>
      <protection locked="0"/>
    </xf>
    <xf numFmtId="164" fontId="2" fillId="0" borderId="0" xfId="20" applyNumberFormat="1" applyProtection="1">
      <alignment/>
      <protection locked="0"/>
    </xf>
    <xf numFmtId="0" fontId="4" fillId="2" borderId="1" xfId="20" applyFont="1" applyFill="1" applyBorder="1" applyAlignment="1" applyProtection="1">
      <alignment horizontal="left" vertical="center" wrapText="1"/>
      <protection locked="0"/>
    </xf>
    <xf numFmtId="164" fontId="4" fillId="2" borderId="1" xfId="20" applyNumberFormat="1" applyFont="1" applyFill="1" applyBorder="1">
      <alignment/>
      <protection/>
    </xf>
    <xf numFmtId="0" fontId="2" fillId="0" borderId="1" xfId="20" applyBorder="1" applyAlignment="1" applyProtection="1">
      <alignment horizontal="left" vertical="center" wrapText="1"/>
      <protection locked="0"/>
    </xf>
    <xf numFmtId="164" fontId="2" fillId="0" borderId="1" xfId="20" applyNumberFormat="1" applyBorder="1" applyProtection="1">
      <alignment/>
      <protection locked="0"/>
    </xf>
    <xf numFmtId="165" fontId="2" fillId="0" borderId="0" xfId="20" applyNumberFormat="1" applyProtection="1">
      <alignment/>
      <protection locked="0"/>
    </xf>
    <xf numFmtId="164" fontId="5" fillId="0" borderId="0" xfId="20" applyNumberFormat="1" applyFont="1" applyProtection="1">
      <alignment/>
      <protection locked="0"/>
    </xf>
    <xf numFmtId="0" fontId="4" fillId="0" borderId="1" xfId="20" applyFont="1" applyBorder="1" applyAlignment="1" applyProtection="1">
      <alignment horizontal="left" vertical="center" wrapText="1"/>
      <protection locked="0"/>
    </xf>
    <xf numFmtId="164" fontId="4" fillId="0" borderId="1" xfId="20" applyNumberFormat="1" applyFont="1" applyBorder="1" applyProtection="1">
      <alignment/>
      <protection locked="0"/>
    </xf>
    <xf numFmtId="164" fontId="6" fillId="2" borderId="1" xfId="20" applyNumberFormat="1" applyFont="1" applyFill="1" applyBorder="1" applyProtection="1">
      <alignment/>
      <protection locked="0"/>
    </xf>
    <xf numFmtId="164" fontId="6" fillId="0" borderId="1" xfId="20" applyNumberFormat="1" applyFont="1" applyBorder="1" applyProtection="1">
      <alignment/>
      <protection locked="0"/>
    </xf>
    <xf numFmtId="164" fontId="6" fillId="2" borderId="1" xfId="20" applyNumberFormat="1" applyFont="1" applyFill="1" applyBorder="1">
      <alignment/>
      <protection/>
    </xf>
    <xf numFmtId="164" fontId="7" fillId="0" borderId="0" xfId="20" applyNumberFormat="1" applyFont="1" applyProtection="1">
      <alignment/>
      <protection locked="0"/>
    </xf>
    <xf numFmtId="164" fontId="8" fillId="2" borderId="1" xfId="20" applyNumberFormat="1" applyFont="1" applyFill="1" applyBorder="1">
      <alignment/>
      <protection/>
    </xf>
    <xf numFmtId="9" fontId="0" fillId="0" borderId="0" xfId="22" applyFont="1" applyProtection="1">
      <protection locked="0"/>
    </xf>
    <xf numFmtId="164" fontId="2" fillId="2" borderId="1" xfId="20" applyNumberFormat="1" applyFill="1" applyBorder="1">
      <alignment/>
      <protection/>
    </xf>
    <xf numFmtId="0" fontId="9" fillId="0" borderId="1" xfId="20" applyFont="1" applyBorder="1" applyAlignment="1" applyProtection="1">
      <alignment horizontal="left" vertical="center" wrapText="1"/>
      <protection locked="0"/>
    </xf>
    <xf numFmtId="164" fontId="8" fillId="2" borderId="1" xfId="20" applyNumberFormat="1" applyFont="1" applyFill="1" applyBorder="1">
      <alignment/>
      <protection/>
    </xf>
    <xf numFmtId="164" fontId="4" fillId="2" borderId="1" xfId="20" applyNumberFormat="1" applyFont="1" applyFill="1" applyBorder="1">
      <alignment/>
      <protection/>
    </xf>
    <xf numFmtId="0" fontId="10" fillId="0" borderId="0" xfId="20" applyFont="1" applyAlignment="1" applyProtection="1">
      <alignment vertical="center"/>
      <protection locked="0"/>
    </xf>
    <xf numFmtId="10" fontId="0" fillId="0" borderId="0" xfId="22" applyNumberFormat="1" applyFont="1" applyProtection="1">
      <protection locked="0"/>
    </xf>
    <xf numFmtId="0" fontId="2" fillId="0" borderId="2" xfId="20" applyBorder="1" applyAlignment="1" applyProtection="1">
      <alignment horizontal="left" vertical="center" wrapText="1"/>
      <protection locked="0"/>
    </xf>
    <xf numFmtId="164" fontId="2" fillId="0" borderId="2" xfId="20" applyNumberFormat="1" applyBorder="1" applyProtection="1">
      <alignment/>
      <protection locked="0"/>
    </xf>
    <xf numFmtId="164" fontId="13" fillId="0" borderId="0" xfId="20" applyNumberFormat="1" applyFont="1" applyProtection="1">
      <alignment/>
      <protection locked="0"/>
    </xf>
    <xf numFmtId="164" fontId="14" fillId="0" borderId="0" xfId="20" applyNumberFormat="1" applyFont="1" applyProtection="1">
      <alignment/>
      <protection locked="0"/>
    </xf>
    <xf numFmtId="0" fontId="6" fillId="0" borderId="0" xfId="20" applyFont="1" applyAlignment="1">
      <alignment horizontal="right"/>
      <protection/>
    </xf>
    <xf numFmtId="3" fontId="2" fillId="0" borderId="0" xfId="20" applyNumberFormat="1">
      <alignment/>
      <protection/>
    </xf>
    <xf numFmtId="164" fontId="6" fillId="0" borderId="0" xfId="20" applyNumberFormat="1" applyFont="1" applyProtection="1">
      <alignment/>
      <protection locked="0"/>
    </xf>
    <xf numFmtId="0" fontId="2" fillId="0" borderId="0" xfId="20" applyAlignment="1">
      <alignment horizontal="left"/>
      <protection/>
    </xf>
    <xf numFmtId="164" fontId="4" fillId="0" borderId="0" xfId="20" applyNumberFormat="1" applyFont="1" quotePrefix="1">
      <alignment/>
      <protection/>
    </xf>
    <xf numFmtId="0" fontId="4" fillId="3" borderId="0" xfId="20" applyFont="1" applyFill="1" applyAlignment="1">
      <alignment horizontal="left"/>
      <protection/>
    </xf>
    <xf numFmtId="0" fontId="4" fillId="3" borderId="0" xfId="20" applyFont="1" applyFill="1">
      <alignment/>
      <protection/>
    </xf>
    <xf numFmtId="0" fontId="4" fillId="3" borderId="0" xfId="20" applyFont="1" applyFill="1" applyAlignment="1">
      <alignment horizontal="center"/>
      <protection/>
    </xf>
    <xf numFmtId="164" fontId="2" fillId="3" borderId="0" xfId="20" applyNumberFormat="1" applyFill="1">
      <alignment/>
      <protection/>
    </xf>
    <xf numFmtId="0" fontId="4" fillId="0" borderId="0" xfId="0" applyFont="1"/>
    <xf numFmtId="0" fontId="4" fillId="4" borderId="0" xfId="20" applyFont="1" applyFill="1" applyAlignment="1">
      <alignment horizontal="left"/>
      <protection/>
    </xf>
    <xf numFmtId="0" fontId="4" fillId="4" borderId="0" xfId="20" applyFont="1" applyFill="1">
      <alignment/>
      <protection/>
    </xf>
    <xf numFmtId="0" fontId="4" fillId="4" borderId="0" xfId="20" applyFont="1" applyFill="1" applyAlignment="1">
      <alignment horizontal="center"/>
      <protection/>
    </xf>
    <xf numFmtId="164" fontId="2" fillId="4" borderId="0" xfId="20" applyNumberForma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/>
    <xf numFmtId="0" fontId="4" fillId="0" borderId="0" xfId="20" applyFont="1" applyAlignment="1">
      <alignment horizontal="center"/>
      <protection/>
    </xf>
    <xf numFmtId="164" fontId="2" fillId="0" borderId="0" xfId="20" applyNumberFormat="1">
      <alignment/>
      <protection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0" fillId="0" borderId="0" xfId="20" applyFont="1" applyAlignment="1">
      <alignment horizontal="left"/>
      <protection/>
    </xf>
    <xf numFmtId="0" fontId="0" fillId="0" borderId="0" xfId="20" applyFont="1">
      <alignment/>
      <protection/>
    </xf>
    <xf numFmtId="164" fontId="9" fillId="0" borderId="0" xfId="20" applyNumberFormat="1" applyFont="1">
      <alignment/>
      <protection/>
    </xf>
    <xf numFmtId="0" fontId="2" fillId="0" borderId="0" xfId="20" applyFont="1" applyProtection="1">
      <alignment/>
      <protection locked="0"/>
    </xf>
    <xf numFmtId="0" fontId="2" fillId="0" borderId="1" xfId="20" applyFont="1" applyBorder="1" applyAlignment="1" applyProtection="1">
      <alignment horizontal="left" vertical="center" wrapText="1"/>
      <protection locked="0"/>
    </xf>
    <xf numFmtId="3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locked="0"/>
    </xf>
    <xf numFmtId="0" fontId="2" fillId="0" borderId="0" xfId="20" applyAlignment="1" applyProtection="1">
      <alignment horizontal="right"/>
      <protection locked="0"/>
    </xf>
    <xf numFmtId="0" fontId="2" fillId="0" borderId="0" xfId="20" applyFont="1" applyAlignment="1" quotePrefix="1">
      <alignment horizontal="left"/>
      <protection/>
    </xf>
    <xf numFmtId="0" fontId="15" fillId="0" borderId="0" xfId="0" applyFont="1" applyAlignment="1">
      <alignment horizontal="left"/>
    </xf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5" fillId="5" borderId="0" xfId="0" applyFont="1" applyFill="1" applyAlignment="1">
      <alignment horizontal="left"/>
    </xf>
    <xf numFmtId="3" fontId="15" fillId="5" borderId="0" xfId="0" applyNumberFormat="1" applyFont="1" applyFill="1" applyAlignment="1">
      <alignment horizontal="right"/>
    </xf>
    <xf numFmtId="0" fontId="15" fillId="5" borderId="0" xfId="0" applyFont="1" applyFill="1" applyAlignment="1">
      <alignment horizontal="center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3" fillId="0" borderId="0" xfId="20" applyFont="1" applyAlignment="1" applyProtection="1">
      <alignment horizontal="center" vertical="center"/>
      <protection locked="0"/>
    </xf>
    <xf numFmtId="0" fontId="2" fillId="0" borderId="0" xfId="20" applyAlignment="1" applyProtection="1">
      <alignment horizontal="left" vertical="top" wrapText="1"/>
      <protection locked="0"/>
    </xf>
    <xf numFmtId="0" fontId="2" fillId="0" borderId="0" xfId="20" applyAlignment="1" applyProtection="1">
      <alignment horizontal="left" wrapText="1"/>
      <protection locked="0"/>
    </xf>
    <xf numFmtId="0" fontId="2" fillId="6" borderId="0" xfId="20" applyFill="1" applyProtection="1">
      <alignment/>
      <protection locked="0"/>
    </xf>
    <xf numFmtId="0" fontId="2" fillId="6" borderId="0" xfId="20" applyFill="1">
      <alignment/>
      <protection/>
    </xf>
    <xf numFmtId="168" fontId="0" fillId="6" borderId="0" xfId="21" applyNumberFormat="1" applyFont="1" applyFill="1" applyProtection="1">
      <protection locked="0"/>
    </xf>
    <xf numFmtId="0" fontId="0" fillId="6" borderId="0" xfId="20" applyFont="1" applyFill="1">
      <alignment/>
      <protection/>
    </xf>
    <xf numFmtId="164" fontId="2" fillId="6" borderId="0" xfId="20" applyNumberFormat="1" applyFill="1" applyProtection="1">
      <alignment/>
      <protection locked="0"/>
    </xf>
    <xf numFmtId="9" fontId="7" fillId="6" borderId="0" xfId="22" applyFont="1" applyFill="1" applyProtection="1">
      <protection locked="0"/>
    </xf>
    <xf numFmtId="164" fontId="7" fillId="6" borderId="0" xfId="20" applyNumberFormat="1" applyFont="1" applyFill="1" applyProtection="1">
      <alignment/>
      <protection locked="0"/>
    </xf>
    <xf numFmtId="165" fontId="2" fillId="6" borderId="0" xfId="20" applyNumberFormat="1" applyFill="1" applyProtection="1">
      <alignment/>
      <protection locked="0"/>
    </xf>
    <xf numFmtId="164" fontId="2" fillId="6" borderId="4" xfId="20" applyNumberFormat="1" applyFill="1" applyBorder="1" applyProtection="1">
      <alignment/>
      <protection locked="0"/>
    </xf>
    <xf numFmtId="164" fontId="2" fillId="6" borderId="5" xfId="20" applyNumberFormat="1" applyFill="1" applyBorder="1" applyProtection="1">
      <alignment/>
      <protection locked="0"/>
    </xf>
    <xf numFmtId="164" fontId="2" fillId="6" borderId="6" xfId="20" applyNumberFormat="1" applyFill="1" applyBorder="1" applyProtection="1">
      <alignment/>
      <protection locked="0"/>
    </xf>
    <xf numFmtId="168" fontId="4" fillId="6" borderId="0" xfId="21" applyNumberFormat="1" applyFont="1" applyFill="1" applyProtection="1">
      <protection locked="0"/>
    </xf>
    <xf numFmtId="166" fontId="0" fillId="6" borderId="0" xfId="22" applyNumberFormat="1" applyFont="1" applyFill="1" applyProtection="1">
      <protection locked="0"/>
    </xf>
    <xf numFmtId="167" fontId="0" fillId="6" borderId="0" xfId="22" applyNumberFormat="1" applyFont="1" applyFill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Pénznem 2" xfId="21"/>
    <cellStyle name="Százalé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06"/>
  <sheetViews>
    <sheetView tabSelected="1" zoomScale="114" zoomScaleNormal="114" workbookViewId="0" topLeftCell="A90">
      <selection activeCell="B103" sqref="B103"/>
    </sheetView>
  </sheetViews>
  <sheetFormatPr defaultColWidth="10.8515625" defaultRowHeight="15"/>
  <cols>
    <col min="1" max="1" width="51.421875" style="1" customWidth="1"/>
    <col min="2" max="2" width="17.28125" style="4" customWidth="1"/>
    <col min="3" max="3" width="19.421875" style="1" customWidth="1"/>
    <col min="4" max="4" width="35.28125" style="1" customWidth="1"/>
    <col min="5" max="5" width="51.7109375" style="1" bestFit="1" customWidth="1"/>
    <col min="6" max="6" width="17.28125" style="1" bestFit="1" customWidth="1"/>
    <col min="7" max="7" width="36.421875" style="1" bestFit="1" customWidth="1"/>
    <col min="8" max="8" width="16.28125" style="1" bestFit="1" customWidth="1"/>
    <col min="9" max="9" width="15.140625" style="1" bestFit="1" customWidth="1"/>
    <col min="10" max="10" width="17.421875" style="1" bestFit="1" customWidth="1"/>
    <col min="11" max="11" width="14.421875" style="1" bestFit="1" customWidth="1"/>
    <col min="12" max="12" width="16.28125" style="1" bestFit="1" customWidth="1"/>
    <col min="13" max="16384" width="10.8515625" style="2" customWidth="1"/>
  </cols>
  <sheetData>
    <row r="1" spans="1:5" ht="15">
      <c r="A1" s="71" t="s">
        <v>122</v>
      </c>
      <c r="B1" s="71"/>
      <c r="C1" s="71"/>
      <c r="D1" s="71"/>
      <c r="E1" s="2"/>
    </row>
    <row r="2" spans="1:5" ht="15">
      <c r="A2" s="71"/>
      <c r="B2" s="71"/>
      <c r="C2" s="71"/>
      <c r="D2" s="71"/>
      <c r="E2" s="2"/>
    </row>
    <row r="3" spans="1:5" ht="15">
      <c r="A3" s="71"/>
      <c r="B3" s="71"/>
      <c r="C3" s="71"/>
      <c r="D3" s="71"/>
      <c r="E3" s="2"/>
    </row>
    <row r="4" ht="15">
      <c r="E4" s="2"/>
    </row>
    <row r="5" spans="1:5" ht="15">
      <c r="A5" s="3" t="s">
        <v>0</v>
      </c>
      <c r="E5" s="2"/>
    </row>
    <row r="6" spans="3:14" ht="15">
      <c r="C6" s="4"/>
      <c r="F6" s="74"/>
      <c r="G6" s="74"/>
      <c r="H6" s="74"/>
      <c r="I6" s="74"/>
      <c r="J6" s="74"/>
      <c r="K6" s="74"/>
      <c r="L6" s="74"/>
      <c r="M6" s="75"/>
      <c r="N6" s="75"/>
    </row>
    <row r="7" spans="1:14" ht="15">
      <c r="A7" s="52" t="s">
        <v>95</v>
      </c>
      <c r="F7" s="74"/>
      <c r="G7" s="74"/>
      <c r="H7" s="74"/>
      <c r="I7" s="74"/>
      <c r="J7" s="74"/>
      <c r="K7" s="74"/>
      <c r="L7" s="74"/>
      <c r="M7" s="75"/>
      <c r="N7" s="75"/>
    </row>
    <row r="8" spans="6:14" ht="15">
      <c r="F8" s="74"/>
      <c r="G8" s="74"/>
      <c r="H8" s="74"/>
      <c r="I8" s="74"/>
      <c r="J8" s="74"/>
      <c r="K8" s="74"/>
      <c r="L8" s="74"/>
      <c r="M8" s="75"/>
      <c r="N8" s="75"/>
    </row>
    <row r="9" spans="1:14" ht="15">
      <c r="A9" s="5" t="s">
        <v>1</v>
      </c>
      <c r="B9" s="6">
        <f>SUM(B10:B16)</f>
        <v>161223360</v>
      </c>
      <c r="F9" s="74"/>
      <c r="G9" s="74"/>
      <c r="H9" s="74"/>
      <c r="I9" s="74"/>
      <c r="J9" s="74"/>
      <c r="K9" s="74"/>
      <c r="L9" s="74"/>
      <c r="M9" s="75"/>
      <c r="N9" s="75"/>
    </row>
    <row r="10" spans="1:14" ht="15">
      <c r="A10" s="7" t="s">
        <v>2</v>
      </c>
      <c r="B10" s="8">
        <v>160740000</v>
      </c>
      <c r="F10" s="74"/>
      <c r="G10" s="74"/>
      <c r="H10" s="74"/>
      <c r="I10" s="74"/>
      <c r="J10" s="74"/>
      <c r="K10" s="74"/>
      <c r="L10" s="74"/>
      <c r="M10" s="75"/>
      <c r="N10" s="75"/>
    </row>
    <row r="11" spans="1:14" ht="31.5">
      <c r="A11" s="7" t="s">
        <v>3</v>
      </c>
      <c r="B11" s="8">
        <v>0</v>
      </c>
      <c r="C11" s="56"/>
      <c r="D11" s="9"/>
      <c r="F11" s="74"/>
      <c r="G11" s="74"/>
      <c r="H11" s="74"/>
      <c r="I11" s="74"/>
      <c r="J11" s="76"/>
      <c r="K11" s="74"/>
      <c r="L11" s="74"/>
      <c r="M11" s="75"/>
      <c r="N11" s="75"/>
    </row>
    <row r="12" spans="1:14" ht="15">
      <c r="A12" s="7" t="s">
        <v>4</v>
      </c>
      <c r="B12" s="8">
        <v>0</v>
      </c>
      <c r="F12" s="74"/>
      <c r="G12" s="74"/>
      <c r="H12" s="74"/>
      <c r="I12" s="74"/>
      <c r="J12" s="76"/>
      <c r="K12" s="74"/>
      <c r="L12" s="74"/>
      <c r="M12" s="75"/>
      <c r="N12" s="75"/>
    </row>
    <row r="13" spans="1:14" ht="15">
      <c r="A13" s="7" t="s">
        <v>5</v>
      </c>
      <c r="B13" s="8"/>
      <c r="F13" s="74"/>
      <c r="G13" s="74"/>
      <c r="H13" s="77"/>
      <c r="I13" s="74"/>
      <c r="J13" s="76"/>
      <c r="K13" s="74"/>
      <c r="L13" s="74"/>
      <c r="M13" s="75"/>
      <c r="N13" s="75"/>
    </row>
    <row r="14" spans="1:14" ht="15">
      <c r="A14" s="7" t="s">
        <v>6</v>
      </c>
      <c r="B14" s="8">
        <v>0</v>
      </c>
      <c r="C14" s="56"/>
      <c r="F14" s="74"/>
      <c r="G14" s="74"/>
      <c r="H14" s="77"/>
      <c r="I14" s="74"/>
      <c r="J14" s="76"/>
      <c r="K14" s="74"/>
      <c r="L14" s="74"/>
      <c r="M14" s="75"/>
      <c r="N14" s="75"/>
    </row>
    <row r="15" spans="1:14" ht="15">
      <c r="A15" s="7" t="s">
        <v>7</v>
      </c>
      <c r="B15" s="8">
        <v>483360</v>
      </c>
      <c r="C15" s="56"/>
      <c r="F15" s="74"/>
      <c r="G15" s="74"/>
      <c r="H15" s="74"/>
      <c r="I15" s="74"/>
      <c r="J15" s="74"/>
      <c r="K15" s="74"/>
      <c r="L15" s="74"/>
      <c r="M15" s="75"/>
      <c r="N15" s="75"/>
    </row>
    <row r="16" spans="1:14" ht="15">
      <c r="A16" s="7" t="s">
        <v>8</v>
      </c>
      <c r="B16" s="8"/>
      <c r="F16" s="74"/>
      <c r="G16" s="74"/>
      <c r="H16" s="74"/>
      <c r="I16" s="74"/>
      <c r="J16" s="76"/>
      <c r="K16" s="74"/>
      <c r="L16" s="74"/>
      <c r="M16" s="75"/>
      <c r="N16" s="75"/>
    </row>
    <row r="17" spans="6:14" ht="15">
      <c r="F17" s="74"/>
      <c r="G17" s="74"/>
      <c r="H17" s="74"/>
      <c r="I17" s="74"/>
      <c r="J17" s="74"/>
      <c r="K17" s="78"/>
      <c r="L17" s="74"/>
      <c r="M17" s="75"/>
      <c r="N17" s="75"/>
    </row>
    <row r="18" spans="6:14" ht="15">
      <c r="F18" s="74"/>
      <c r="G18" s="74"/>
      <c r="H18" s="74"/>
      <c r="I18" s="74"/>
      <c r="J18" s="74"/>
      <c r="K18" s="74"/>
      <c r="L18" s="74"/>
      <c r="M18" s="75"/>
      <c r="N18" s="75"/>
    </row>
    <row r="19" spans="3:14" ht="15">
      <c r="C19" s="4"/>
      <c r="F19" s="74"/>
      <c r="G19" s="74"/>
      <c r="H19" s="74"/>
      <c r="I19" s="74"/>
      <c r="J19" s="74"/>
      <c r="K19" s="74"/>
      <c r="L19" s="74"/>
      <c r="M19" s="75"/>
      <c r="N19" s="75"/>
    </row>
    <row r="20" spans="1:14" ht="15">
      <c r="A20" s="52" t="s">
        <v>96</v>
      </c>
      <c r="C20" s="10">
        <f>+C106</f>
        <v>-0.414000004529953</v>
      </c>
      <c r="D20" s="10">
        <f>+C24+C48</f>
        <v>0</v>
      </c>
      <c r="F20" s="74"/>
      <c r="G20" s="74"/>
      <c r="H20" s="74"/>
      <c r="I20" s="74"/>
      <c r="J20" s="74"/>
      <c r="K20" s="74"/>
      <c r="L20" s="74"/>
      <c r="M20" s="75"/>
      <c r="N20" s="75"/>
    </row>
    <row r="21" spans="6:14" ht="15">
      <c r="F21" s="74"/>
      <c r="G21" s="74"/>
      <c r="H21" s="74"/>
      <c r="I21" s="74"/>
      <c r="J21" s="74"/>
      <c r="K21" s="74"/>
      <c r="L21" s="74"/>
      <c r="M21" s="75"/>
      <c r="N21" s="75"/>
    </row>
    <row r="22" spans="1:14" ht="15">
      <c r="A22" s="11" t="s">
        <v>9</v>
      </c>
      <c r="B22" s="12" t="s">
        <v>10</v>
      </c>
      <c r="C22" s="12" t="s">
        <v>11</v>
      </c>
      <c r="D22" s="12" t="s">
        <v>12</v>
      </c>
      <c r="F22" s="74"/>
      <c r="G22" s="74"/>
      <c r="H22" s="74"/>
      <c r="I22" s="74"/>
      <c r="J22" s="78"/>
      <c r="K22" s="74"/>
      <c r="L22" s="74"/>
      <c r="M22" s="75"/>
      <c r="N22" s="75"/>
    </row>
    <row r="23" spans="1:14" ht="15">
      <c r="A23" s="7" t="s">
        <v>13</v>
      </c>
      <c r="B23" s="13">
        <f>+B10+B15+B16</f>
        <v>161223360</v>
      </c>
      <c r="C23" s="14">
        <f>+B11+B13+B14</f>
        <v>0</v>
      </c>
      <c r="D23" s="15">
        <f>SUM(B23:C23)</f>
        <v>161223360</v>
      </c>
      <c r="F23" s="79" t="s">
        <v>14</v>
      </c>
      <c r="G23" s="74"/>
      <c r="H23" s="74"/>
      <c r="I23" s="74"/>
      <c r="J23" s="78"/>
      <c r="K23" s="74"/>
      <c r="L23" s="74"/>
      <c r="M23" s="75"/>
      <c r="N23" s="75"/>
    </row>
    <row r="24" spans="1:14" ht="15">
      <c r="A24" s="7" t="s">
        <v>15</v>
      </c>
      <c r="B24" s="13">
        <f>+B97+B100+B104-F24</f>
        <v>43850000</v>
      </c>
      <c r="C24" s="14">
        <f>+C34-C27</f>
        <v>0</v>
      </c>
      <c r="D24" s="15">
        <f>SUM(B24:C24)</f>
        <v>43850000</v>
      </c>
      <c r="F24" s="80">
        <v>0</v>
      </c>
      <c r="G24" s="74"/>
      <c r="H24" s="74"/>
      <c r="I24" s="74"/>
      <c r="J24" s="78"/>
      <c r="K24" s="74"/>
      <c r="L24" s="74"/>
      <c r="M24" s="75"/>
      <c r="N24" s="75"/>
    </row>
    <row r="25" spans="1:14" ht="15">
      <c r="A25" s="7" t="s">
        <v>16</v>
      </c>
      <c r="B25" s="15">
        <f>+ROUND((((B23-B24-B26-B29)*0.95/(100%+E9)*E9))+B29*Költségvetés!E9,0)</f>
        <v>0</v>
      </c>
      <c r="C25" s="15">
        <f>+ROUND(((C31)*E9),0)</f>
        <v>0</v>
      </c>
      <c r="D25" s="15">
        <f>+B25+C25</f>
        <v>0</v>
      </c>
      <c r="F25" s="81"/>
      <c r="G25" s="74"/>
      <c r="H25" s="74"/>
      <c r="I25" s="74"/>
      <c r="J25" s="74"/>
      <c r="K25" s="74"/>
      <c r="L25" s="74"/>
      <c r="M25" s="75"/>
      <c r="N25" s="75"/>
    </row>
    <row r="26" spans="1:14" ht="15">
      <c r="A26" s="7" t="s">
        <v>17</v>
      </c>
      <c r="B26" s="13">
        <f>+B93+B94+B95</f>
        <v>3724678.414</v>
      </c>
      <c r="C26" s="14"/>
      <c r="D26" s="15">
        <f>SUM(B26:C26)</f>
        <v>3724678.414</v>
      </c>
      <c r="F26" s="74"/>
      <c r="G26" s="74"/>
      <c r="H26" s="74"/>
      <c r="I26" s="74"/>
      <c r="J26" s="74"/>
      <c r="K26" s="74"/>
      <c r="L26" s="74"/>
      <c r="M26" s="75"/>
      <c r="N26" s="75"/>
    </row>
    <row r="27" spans="1:14" ht="15">
      <c r="A27" s="7" t="s">
        <v>18</v>
      </c>
      <c r="B27" s="15">
        <f>+B25+B26</f>
        <v>3724678.414</v>
      </c>
      <c r="C27" s="15">
        <f>+C25+C26</f>
        <v>0</v>
      </c>
      <c r="D27" s="15">
        <f>+B27+C27</f>
        <v>3724678.414</v>
      </c>
      <c r="F27" s="74"/>
      <c r="G27" s="74"/>
      <c r="H27" s="74"/>
      <c r="I27" s="74"/>
      <c r="J27" s="74"/>
      <c r="K27" s="74"/>
      <c r="L27" s="74"/>
      <c r="M27" s="75"/>
      <c r="N27" s="75"/>
    </row>
    <row r="28" spans="1:14" ht="15">
      <c r="A28" s="11" t="s">
        <v>19</v>
      </c>
      <c r="B28" s="17">
        <f>+B23-B24-B27</f>
        <v>113648681.586</v>
      </c>
      <c r="C28" s="17">
        <f>+C23-C24-C27</f>
        <v>0</v>
      </c>
      <c r="D28" s="17">
        <f>+B28+C28</f>
        <v>113648681.586</v>
      </c>
      <c r="F28" s="78"/>
      <c r="G28" s="74"/>
      <c r="H28" s="74"/>
      <c r="I28" s="74"/>
      <c r="J28" s="74"/>
      <c r="K28" s="74"/>
      <c r="L28" s="74"/>
      <c r="M28" s="75"/>
      <c r="N28" s="75"/>
    </row>
    <row r="29" spans="1:14" ht="15">
      <c r="A29" s="7" t="s">
        <v>20</v>
      </c>
      <c r="B29" s="13">
        <v>15000000</v>
      </c>
      <c r="C29" s="14">
        <v>0</v>
      </c>
      <c r="D29" s="15">
        <f>SUM(B29:C29)</f>
        <v>15000000</v>
      </c>
      <c r="E29" s="18"/>
      <c r="F29" s="74"/>
      <c r="G29" s="74"/>
      <c r="H29" s="74"/>
      <c r="I29" s="74"/>
      <c r="J29" s="78"/>
      <c r="K29" s="74"/>
      <c r="L29" s="74"/>
      <c r="M29" s="75"/>
      <c r="N29" s="75"/>
    </row>
    <row r="30" spans="1:14" ht="15">
      <c r="A30" s="11" t="s">
        <v>21</v>
      </c>
      <c r="B30" s="6">
        <f>+B28-B29</f>
        <v>98648681.586</v>
      </c>
      <c r="C30" s="6">
        <f>+ROUND(B30/B35*C23/1,0)*1</f>
        <v>0</v>
      </c>
      <c r="D30" s="6">
        <f>+B30+C30</f>
        <v>98648681.586</v>
      </c>
      <c r="F30" s="74"/>
      <c r="G30" s="74"/>
      <c r="H30" s="74"/>
      <c r="I30" s="74"/>
      <c r="J30" s="74"/>
      <c r="K30" s="74"/>
      <c r="L30" s="74"/>
      <c r="M30" s="75"/>
      <c r="N30" s="75"/>
    </row>
    <row r="31" spans="1:14" ht="15">
      <c r="A31" s="7" t="s">
        <v>22</v>
      </c>
      <c r="B31" s="19">
        <f>+ROUND((B23-B24-B27-B29)*0.95/1,0)*1</f>
        <v>93716248</v>
      </c>
      <c r="C31" s="19">
        <f>+ROUND((C30)*0.95/1,0)*1</f>
        <v>0</v>
      </c>
      <c r="D31" s="19">
        <f>+B31+C31</f>
        <v>93716248</v>
      </c>
      <c r="F31" s="74"/>
      <c r="G31" s="74"/>
      <c r="H31" s="74"/>
      <c r="I31" s="74"/>
      <c r="J31" s="74"/>
      <c r="K31" s="74"/>
      <c r="L31" s="74"/>
      <c r="M31" s="75"/>
      <c r="N31" s="75"/>
    </row>
    <row r="32" spans="1:14" ht="15">
      <c r="A32" s="7" t="s">
        <v>23</v>
      </c>
      <c r="B32" s="19"/>
      <c r="C32" s="19"/>
      <c r="D32" s="19">
        <f>+B32+C32</f>
        <v>0</v>
      </c>
      <c r="F32" s="74"/>
      <c r="G32" s="74"/>
      <c r="H32" s="74"/>
      <c r="I32" s="74"/>
      <c r="J32" s="74"/>
      <c r="K32" s="74"/>
      <c r="L32" s="74"/>
      <c r="M32" s="75"/>
      <c r="N32" s="75"/>
    </row>
    <row r="33" spans="1:14" ht="15">
      <c r="A33" s="7" t="s">
        <v>24</v>
      </c>
      <c r="B33" s="19">
        <f>+ROUND(B30*5%/1,0)*1</f>
        <v>4932434</v>
      </c>
      <c r="C33" s="19">
        <f>+ROUND(C30*5%/1,0)*1</f>
        <v>0</v>
      </c>
      <c r="D33" s="19">
        <f>+B33+C33</f>
        <v>4932434</v>
      </c>
      <c r="F33" s="74"/>
      <c r="G33" s="74"/>
      <c r="H33" s="74"/>
      <c r="I33" s="74"/>
      <c r="J33" s="78"/>
      <c r="K33" s="74"/>
      <c r="L33" s="74"/>
      <c r="M33" s="75"/>
      <c r="N33" s="75"/>
    </row>
    <row r="34" spans="1:14" ht="15">
      <c r="A34" s="7" t="s">
        <v>25</v>
      </c>
      <c r="B34" s="19">
        <f>+B24+B27</f>
        <v>47574678.414</v>
      </c>
      <c r="C34" s="19">
        <f>+C23-C30</f>
        <v>0</v>
      </c>
      <c r="D34" s="19">
        <f>+B34+C34</f>
        <v>47574678.414</v>
      </c>
      <c r="F34" s="74"/>
      <c r="G34" s="74"/>
      <c r="H34" s="74"/>
      <c r="I34" s="74"/>
      <c r="J34" s="74"/>
      <c r="K34" s="74"/>
      <c r="L34" s="74"/>
      <c r="M34" s="75"/>
      <c r="N34" s="75"/>
    </row>
    <row r="35" spans="1:14" ht="15">
      <c r="A35" s="11" t="s">
        <v>26</v>
      </c>
      <c r="B35" s="6">
        <f>+B29+B30+B34</f>
        <v>161223360</v>
      </c>
      <c r="C35" s="6">
        <f>+C29+C30+C34</f>
        <v>0</v>
      </c>
      <c r="D35" s="6">
        <f>+D29+D30+D34</f>
        <v>161223360</v>
      </c>
      <c r="E35" s="16">
        <f>+B10+B11+B13+B14-D35++B15+B16</f>
        <v>0</v>
      </c>
      <c r="F35" s="74"/>
      <c r="G35" s="74"/>
      <c r="H35" s="74"/>
      <c r="I35" s="74"/>
      <c r="J35" s="74"/>
      <c r="K35" s="74"/>
      <c r="L35" s="74"/>
      <c r="M35" s="75"/>
      <c r="N35" s="75"/>
    </row>
    <row r="36" spans="3:14" ht="15">
      <c r="C36" s="4"/>
      <c r="F36" s="74"/>
      <c r="G36" s="74"/>
      <c r="H36" s="74"/>
      <c r="I36" s="74"/>
      <c r="J36" s="74"/>
      <c r="K36" s="74"/>
      <c r="L36" s="74"/>
      <c r="M36" s="75"/>
      <c r="N36" s="75"/>
    </row>
    <row r="37" spans="6:14" ht="15">
      <c r="F37" s="74"/>
      <c r="G37" s="74"/>
      <c r="H37" s="74"/>
      <c r="I37" s="74"/>
      <c r="J37" s="76"/>
      <c r="K37" s="74"/>
      <c r="L37" s="74"/>
      <c r="M37" s="75"/>
      <c r="N37" s="75"/>
    </row>
    <row r="38" spans="1:14" ht="15">
      <c r="A38" s="72" t="s">
        <v>27</v>
      </c>
      <c r="B38" s="72"/>
      <c r="C38" s="72"/>
      <c r="D38" s="72"/>
      <c r="F38" s="81"/>
      <c r="G38" s="74"/>
      <c r="H38" s="74"/>
      <c r="I38" s="74"/>
      <c r="J38" s="74"/>
      <c r="K38" s="74"/>
      <c r="L38" s="74"/>
      <c r="M38" s="75"/>
      <c r="N38" s="75"/>
    </row>
    <row r="39" spans="6:14" ht="16.5" thickBot="1">
      <c r="F39" s="78"/>
      <c r="G39" s="74"/>
      <c r="H39" s="74"/>
      <c r="I39" s="74"/>
      <c r="J39" s="74"/>
      <c r="K39" s="74"/>
      <c r="L39" s="74"/>
      <c r="M39" s="75"/>
      <c r="N39" s="75"/>
    </row>
    <row r="40" spans="6:14" ht="15">
      <c r="F40" s="74"/>
      <c r="G40" s="74"/>
      <c r="H40" s="74"/>
      <c r="I40" s="74"/>
      <c r="J40" s="82"/>
      <c r="K40" s="78"/>
      <c r="L40" s="74"/>
      <c r="M40" s="75"/>
      <c r="N40" s="75"/>
    </row>
    <row r="41" spans="6:14" ht="15">
      <c r="F41" s="74"/>
      <c r="G41" s="74"/>
      <c r="H41" s="74"/>
      <c r="I41" s="74"/>
      <c r="J41" s="83"/>
      <c r="K41" s="78"/>
      <c r="L41" s="74"/>
      <c r="M41" s="75"/>
      <c r="N41" s="75"/>
    </row>
    <row r="42" spans="1:14" ht="16.5" thickBot="1">
      <c r="A42" s="52" t="s">
        <v>97</v>
      </c>
      <c r="F42" s="74"/>
      <c r="G42" s="74"/>
      <c r="H42" s="74"/>
      <c r="I42" s="74"/>
      <c r="J42" s="84"/>
      <c r="K42" s="78"/>
      <c r="L42" s="74"/>
      <c r="M42" s="75"/>
      <c r="N42" s="75"/>
    </row>
    <row r="43" spans="6:14" ht="15">
      <c r="F43" s="74"/>
      <c r="G43" s="74"/>
      <c r="H43" s="74"/>
      <c r="I43" s="74"/>
      <c r="J43" s="78"/>
      <c r="K43" s="85"/>
      <c r="L43" s="74"/>
      <c r="M43" s="75"/>
      <c r="N43" s="75"/>
    </row>
    <row r="44" spans="6:14" ht="15">
      <c r="F44" s="74"/>
      <c r="G44" s="74"/>
      <c r="H44" s="74"/>
      <c r="I44" s="74"/>
      <c r="J44" s="78"/>
      <c r="K44" s="85"/>
      <c r="L44" s="74"/>
      <c r="M44" s="75"/>
      <c r="N44" s="75"/>
    </row>
    <row r="45" spans="6:14" ht="15">
      <c r="F45" s="74"/>
      <c r="G45" s="74"/>
      <c r="H45" s="74"/>
      <c r="I45" s="74"/>
      <c r="J45" s="74"/>
      <c r="K45" s="85"/>
      <c r="L45" s="74"/>
      <c r="M45" s="75"/>
      <c r="N45" s="75"/>
    </row>
    <row r="46" spans="1:14" ht="15">
      <c r="A46" s="7" t="s">
        <v>9</v>
      </c>
      <c r="B46" s="7" t="s">
        <v>10</v>
      </c>
      <c r="C46" s="7" t="s">
        <v>28</v>
      </c>
      <c r="D46" s="7" t="s">
        <v>29</v>
      </c>
      <c r="F46" s="74"/>
      <c r="G46" s="74"/>
      <c r="H46" s="74"/>
      <c r="I46" s="74"/>
      <c r="J46" s="74"/>
      <c r="K46" s="85"/>
      <c r="L46" s="74"/>
      <c r="M46" s="75"/>
      <c r="N46" s="75"/>
    </row>
    <row r="47" spans="1:14" ht="15">
      <c r="A47" s="7" t="s">
        <v>13</v>
      </c>
      <c r="B47" s="15">
        <f>+D35</f>
        <v>161223360</v>
      </c>
      <c r="C47" s="15">
        <f>+B12</f>
        <v>0</v>
      </c>
      <c r="D47" s="15">
        <f>SUM(B47:C47)</f>
        <v>161223360</v>
      </c>
      <c r="F47" s="86"/>
      <c r="G47" s="74"/>
      <c r="H47" s="74"/>
      <c r="I47" s="74"/>
      <c r="J47" s="74"/>
      <c r="K47" s="74"/>
      <c r="L47" s="74"/>
      <c r="M47" s="75"/>
      <c r="N47" s="75"/>
    </row>
    <row r="48" spans="1:14" ht="16.5" thickBot="1">
      <c r="A48" s="7" t="s">
        <v>15</v>
      </c>
      <c r="B48" s="15">
        <f>+D24</f>
        <v>43850000</v>
      </c>
      <c r="C48" s="15">
        <f>+C58-C51</f>
        <v>0</v>
      </c>
      <c r="D48" s="15">
        <f>SUM(B48:C48)</f>
        <v>43850000</v>
      </c>
      <c r="F48" s="87"/>
      <c r="G48" s="74"/>
      <c r="H48" s="74"/>
      <c r="I48" s="74"/>
      <c r="J48" s="74"/>
      <c r="K48" s="85"/>
      <c r="L48" s="74"/>
      <c r="M48" s="75"/>
      <c r="N48" s="75"/>
    </row>
    <row r="49" spans="1:14" ht="15">
      <c r="A49" s="7" t="s">
        <v>30</v>
      </c>
      <c r="B49" s="15">
        <f>+D25</f>
        <v>0</v>
      </c>
      <c r="C49" s="15">
        <f>+ROUND(C55*E9/1,0)*1</f>
        <v>0</v>
      </c>
      <c r="D49" s="15">
        <f>+B49+C49</f>
        <v>0</v>
      </c>
      <c r="F49" s="74"/>
      <c r="G49" s="74"/>
      <c r="H49" s="74"/>
      <c r="I49" s="74"/>
      <c r="J49" s="82"/>
      <c r="K49" s="78"/>
      <c r="L49" s="74"/>
      <c r="M49" s="75"/>
      <c r="N49" s="75"/>
    </row>
    <row r="50" spans="1:14" ht="15">
      <c r="A50" s="7" t="s">
        <v>17</v>
      </c>
      <c r="B50" s="15">
        <f>+D26</f>
        <v>3724678.414</v>
      </c>
      <c r="C50" s="14"/>
      <c r="D50" s="13">
        <f>SUM(B50:C50)</f>
        <v>3724678.414</v>
      </c>
      <c r="F50" s="78"/>
      <c r="G50" s="74"/>
      <c r="H50" s="74"/>
      <c r="I50" s="74"/>
      <c r="J50" s="83"/>
      <c r="K50" s="74"/>
      <c r="L50" s="74"/>
      <c r="M50" s="75"/>
      <c r="N50" s="75"/>
    </row>
    <row r="51" spans="1:14" ht="16.5" thickBot="1">
      <c r="A51" s="7" t="s">
        <v>18</v>
      </c>
      <c r="B51" s="15">
        <f>+B49+B50</f>
        <v>3724678.414</v>
      </c>
      <c r="C51" s="15">
        <f>+C49+C50</f>
        <v>0</v>
      </c>
      <c r="D51" s="15">
        <f>+B51+C51</f>
        <v>3724678.414</v>
      </c>
      <c r="F51" s="78"/>
      <c r="G51" s="74"/>
      <c r="H51" s="74"/>
      <c r="I51" s="74"/>
      <c r="J51" s="84"/>
      <c r="K51" s="74"/>
      <c r="L51" s="74"/>
      <c r="M51" s="75"/>
      <c r="N51" s="75"/>
    </row>
    <row r="52" spans="1:14" ht="15">
      <c r="A52" s="20" t="s">
        <v>19</v>
      </c>
      <c r="B52" s="21">
        <f>+B47-B48-B51</f>
        <v>113648681.586</v>
      </c>
      <c r="C52" s="21">
        <f>+C47-C48-C51</f>
        <v>0</v>
      </c>
      <c r="D52" s="21">
        <f>+B52+C52</f>
        <v>113648681.586</v>
      </c>
      <c r="F52" s="74"/>
      <c r="G52" s="74"/>
      <c r="H52" s="74"/>
      <c r="I52" s="74"/>
      <c r="J52" s="78"/>
      <c r="K52" s="74"/>
      <c r="L52" s="74"/>
      <c r="M52" s="75"/>
      <c r="N52" s="75"/>
    </row>
    <row r="53" spans="1:14" ht="15">
      <c r="A53" s="7" t="s">
        <v>20</v>
      </c>
      <c r="B53" s="15">
        <f>+D29</f>
        <v>15000000</v>
      </c>
      <c r="C53" s="14">
        <v>0</v>
      </c>
      <c r="D53" s="15">
        <f>SUM(B53:C53)</f>
        <v>15000000</v>
      </c>
      <c r="F53" s="74"/>
      <c r="G53" s="74"/>
      <c r="H53" s="74"/>
      <c r="I53" s="74"/>
      <c r="J53" s="78"/>
      <c r="K53" s="74"/>
      <c r="L53" s="74"/>
      <c r="M53" s="75"/>
      <c r="N53" s="75"/>
    </row>
    <row r="54" spans="1:14" ht="15">
      <c r="A54" s="20" t="s">
        <v>21</v>
      </c>
      <c r="B54" s="21">
        <f>+B52-B53</f>
        <v>98648681.586</v>
      </c>
      <c r="C54" s="21">
        <f>+ROUND(B54/B59*C47/1,0)*1</f>
        <v>0</v>
      </c>
      <c r="D54" s="22">
        <f>+B54+C54</f>
        <v>98648681.586</v>
      </c>
      <c r="F54" s="74"/>
      <c r="G54" s="74"/>
      <c r="H54" s="74"/>
      <c r="I54" s="74"/>
      <c r="J54" s="74"/>
      <c r="K54" s="74"/>
      <c r="L54" s="74"/>
      <c r="M54" s="75"/>
      <c r="N54" s="75"/>
    </row>
    <row r="55" spans="1:14" ht="15">
      <c r="A55" s="7" t="s">
        <v>22</v>
      </c>
      <c r="B55" s="15">
        <f>+ROUND(B54*95%/1,0)*1</f>
        <v>93716248</v>
      </c>
      <c r="C55" s="15">
        <f>+ROUND(C54*90%/1,0)*1</f>
        <v>0</v>
      </c>
      <c r="D55" s="19">
        <f>+B55+C55</f>
        <v>93716248</v>
      </c>
      <c r="F55" s="74"/>
      <c r="G55" s="74"/>
      <c r="H55" s="74"/>
      <c r="I55" s="74"/>
      <c r="J55" s="74"/>
      <c r="K55" s="74"/>
      <c r="L55" s="74"/>
      <c r="M55" s="75"/>
      <c r="N55" s="75"/>
    </row>
    <row r="56" spans="1:14" ht="15">
      <c r="A56" s="7" t="s">
        <v>23</v>
      </c>
      <c r="B56" s="15"/>
      <c r="C56" s="15"/>
      <c r="D56" s="19">
        <f>+B56+C56</f>
        <v>0</v>
      </c>
      <c r="F56" s="74"/>
      <c r="G56" s="74"/>
      <c r="H56" s="74"/>
      <c r="I56" s="74"/>
      <c r="J56" s="74"/>
      <c r="K56" s="74"/>
      <c r="L56" s="74"/>
      <c r="M56" s="75"/>
      <c r="N56" s="75"/>
    </row>
    <row r="57" spans="1:14" ht="15">
      <c r="A57" s="7" t="s">
        <v>24</v>
      </c>
      <c r="B57" s="15">
        <f>+ROUND(B54*5%/1,0)*1</f>
        <v>4932434</v>
      </c>
      <c r="C57" s="15">
        <f>+ROUND(C54*5%/1,0)*1</f>
        <v>0</v>
      </c>
      <c r="D57" s="19">
        <f>+B57+C57</f>
        <v>4932434</v>
      </c>
      <c r="F57" s="74"/>
      <c r="G57" s="74"/>
      <c r="H57" s="74"/>
      <c r="I57" s="74"/>
      <c r="J57" s="74"/>
      <c r="K57" s="74"/>
      <c r="L57" s="74"/>
      <c r="M57" s="75"/>
      <c r="N57" s="75"/>
    </row>
    <row r="58" spans="1:14" ht="15">
      <c r="A58" s="7" t="s">
        <v>31</v>
      </c>
      <c r="B58" s="19">
        <f>+B48+B51</f>
        <v>47574678.414</v>
      </c>
      <c r="C58" s="15">
        <f>+C47-C54</f>
        <v>0</v>
      </c>
      <c r="D58" s="19">
        <f>+B58+C58</f>
        <v>47574678.414</v>
      </c>
      <c r="F58" s="74"/>
      <c r="G58" s="74"/>
      <c r="H58" s="74"/>
      <c r="I58" s="74"/>
      <c r="J58" s="78"/>
      <c r="K58" s="74"/>
      <c r="L58" s="74"/>
      <c r="M58" s="75"/>
      <c r="N58" s="75"/>
    </row>
    <row r="59" spans="1:14" ht="15">
      <c r="A59" s="20" t="s">
        <v>32</v>
      </c>
      <c r="B59" s="6">
        <f>+B53+B54+B58</f>
        <v>161223360</v>
      </c>
      <c r="C59" s="6">
        <f>+C53+C54+C58</f>
        <v>0</v>
      </c>
      <c r="D59" s="6">
        <f>+D53+D54+D58</f>
        <v>161223360</v>
      </c>
      <c r="E59" s="16">
        <f>+D35+B12-D59</f>
        <v>0</v>
      </c>
      <c r="F59" s="74"/>
      <c r="G59" s="74"/>
      <c r="H59" s="74"/>
      <c r="I59" s="74"/>
      <c r="J59" s="74"/>
      <c r="K59" s="74"/>
      <c r="L59" s="74"/>
      <c r="M59" s="75"/>
      <c r="N59" s="75"/>
    </row>
    <row r="60" spans="1:14" ht="15">
      <c r="A60" s="23"/>
      <c r="B60" s="1"/>
      <c r="F60" s="74"/>
      <c r="G60" s="74"/>
      <c r="H60" s="74"/>
      <c r="I60" s="74"/>
      <c r="J60" s="74"/>
      <c r="K60" s="74"/>
      <c r="L60" s="74"/>
      <c r="M60" s="75"/>
      <c r="N60" s="75"/>
    </row>
    <row r="61" spans="6:14" ht="15">
      <c r="F61" s="74"/>
      <c r="G61" s="74"/>
      <c r="H61" s="74"/>
      <c r="I61" s="74"/>
      <c r="J61" s="74"/>
      <c r="K61" s="74"/>
      <c r="L61" s="74"/>
      <c r="M61" s="75"/>
      <c r="N61" s="75"/>
    </row>
    <row r="62" spans="1:14" ht="15">
      <c r="A62" s="72" t="s">
        <v>33</v>
      </c>
      <c r="B62" s="72"/>
      <c r="C62" s="72"/>
      <c r="D62" s="72"/>
      <c r="F62" s="74"/>
      <c r="G62" s="74"/>
      <c r="H62" s="74"/>
      <c r="I62" s="74"/>
      <c r="J62" s="78"/>
      <c r="K62" s="74"/>
      <c r="L62" s="74"/>
      <c r="M62" s="75"/>
      <c r="N62" s="75"/>
    </row>
    <row r="63" spans="6:14" ht="15">
      <c r="F63" s="74"/>
      <c r="G63" s="74"/>
      <c r="H63" s="74"/>
      <c r="I63" s="74"/>
      <c r="J63" s="78"/>
      <c r="K63" s="74"/>
      <c r="L63" s="74"/>
      <c r="M63" s="75"/>
      <c r="N63" s="75"/>
    </row>
    <row r="64" spans="6:14" ht="15">
      <c r="F64" s="74"/>
      <c r="G64" s="74"/>
      <c r="H64" s="74"/>
      <c r="I64" s="74"/>
      <c r="J64" s="74"/>
      <c r="K64" s="74"/>
      <c r="L64" s="74"/>
      <c r="M64" s="75"/>
      <c r="N64" s="75"/>
    </row>
    <row r="65" spans="1:14" ht="15">
      <c r="A65" s="52" t="s">
        <v>94</v>
      </c>
      <c r="F65" s="74"/>
      <c r="G65" s="74"/>
      <c r="H65" s="74"/>
      <c r="I65" s="74"/>
      <c r="J65" s="74"/>
      <c r="K65" s="74"/>
      <c r="L65" s="74"/>
      <c r="M65" s="75"/>
      <c r="N65" s="75"/>
    </row>
    <row r="66" spans="6:14" ht="15">
      <c r="F66" s="74"/>
      <c r="G66" s="74"/>
      <c r="H66" s="74"/>
      <c r="I66" s="74"/>
      <c r="J66" s="78"/>
      <c r="K66" s="74"/>
      <c r="L66" s="74"/>
      <c r="M66" s="75"/>
      <c r="N66" s="75"/>
    </row>
    <row r="67" spans="6:14" ht="15">
      <c r="F67" s="74"/>
      <c r="G67" s="74"/>
      <c r="H67" s="74"/>
      <c r="I67" s="74"/>
      <c r="J67" s="78"/>
      <c r="K67" s="74"/>
      <c r="L67" s="74"/>
      <c r="M67" s="75"/>
      <c r="N67" s="75"/>
    </row>
    <row r="68" spans="1:14" ht="15">
      <c r="A68" s="7" t="s">
        <v>34</v>
      </c>
      <c r="B68" s="8"/>
      <c r="F68" s="74"/>
      <c r="G68" s="74"/>
      <c r="H68" s="74"/>
      <c r="I68" s="74"/>
      <c r="J68" s="78"/>
      <c r="K68" s="74"/>
      <c r="L68" s="74"/>
      <c r="M68" s="75"/>
      <c r="N68" s="75"/>
    </row>
    <row r="69" spans="1:14" ht="15">
      <c r="A69" s="7" t="s">
        <v>35</v>
      </c>
      <c r="B69" s="19">
        <f>+D47</f>
        <v>161223360</v>
      </c>
      <c r="D69" s="4"/>
      <c r="F69" s="74"/>
      <c r="G69" s="74"/>
      <c r="H69" s="74"/>
      <c r="I69" s="74"/>
      <c r="J69" s="74"/>
      <c r="K69" s="74"/>
      <c r="L69" s="74"/>
      <c r="M69" s="75"/>
      <c r="N69" s="75"/>
    </row>
    <row r="70" spans="1:14" ht="15">
      <c r="A70" s="7" t="s">
        <v>15</v>
      </c>
      <c r="B70" s="19">
        <f aca="true" t="shared" si="0" ref="B70">+D48</f>
        <v>43850000</v>
      </c>
      <c r="C70" s="4"/>
      <c r="D70" s="4"/>
      <c r="F70" s="74"/>
      <c r="G70" s="74"/>
      <c r="H70" s="74"/>
      <c r="I70" s="74"/>
      <c r="J70" s="78"/>
      <c r="K70" s="74"/>
      <c r="L70" s="74"/>
      <c r="M70" s="75"/>
      <c r="N70" s="75"/>
    </row>
    <row r="71" spans="1:14" ht="15">
      <c r="A71" s="7" t="s">
        <v>30</v>
      </c>
      <c r="B71" s="19">
        <f>+D49</f>
        <v>0</v>
      </c>
      <c r="C71" s="4"/>
      <c r="D71" s="4"/>
      <c r="F71" s="74"/>
      <c r="G71" s="74"/>
      <c r="H71" s="74"/>
      <c r="I71" s="74"/>
      <c r="J71" s="78"/>
      <c r="K71" s="74"/>
      <c r="L71" s="74"/>
      <c r="M71" s="75"/>
      <c r="N71" s="75"/>
    </row>
    <row r="72" spans="1:14" ht="15">
      <c r="A72" s="7" t="s">
        <v>17</v>
      </c>
      <c r="B72" s="19">
        <f>+D50</f>
        <v>3724678.414</v>
      </c>
      <c r="C72" s="4"/>
      <c r="D72" s="4"/>
      <c r="F72" s="74"/>
      <c r="G72" s="74"/>
      <c r="H72" s="74"/>
      <c r="I72" s="74"/>
      <c r="J72" s="78"/>
      <c r="K72" s="74"/>
      <c r="L72" s="74"/>
      <c r="M72" s="75"/>
      <c r="N72" s="75"/>
    </row>
    <row r="73" spans="1:14" ht="15">
      <c r="A73" s="11" t="s">
        <v>18</v>
      </c>
      <c r="B73" s="17">
        <f>+B71+B72</f>
        <v>3724678.414</v>
      </c>
      <c r="D73" s="4"/>
      <c r="F73" s="78"/>
      <c r="G73" s="74"/>
      <c r="H73" s="74"/>
      <c r="I73" s="74"/>
      <c r="J73" s="78"/>
      <c r="K73" s="74"/>
      <c r="L73" s="74"/>
      <c r="M73" s="75"/>
      <c r="N73" s="75"/>
    </row>
    <row r="74" spans="1:14" ht="15">
      <c r="A74" s="11" t="s">
        <v>19</v>
      </c>
      <c r="B74" s="17">
        <f>+B69-B70-B73</f>
        <v>113648681.586</v>
      </c>
      <c r="D74" s="4"/>
      <c r="F74" s="74"/>
      <c r="G74" s="74"/>
      <c r="H74" s="74"/>
      <c r="I74" s="74"/>
      <c r="J74" s="74"/>
      <c r="K74" s="74"/>
      <c r="L74" s="74"/>
      <c r="M74" s="75"/>
      <c r="N74" s="75"/>
    </row>
    <row r="75" spans="1:14" ht="15">
      <c r="A75" s="7" t="s">
        <v>20</v>
      </c>
      <c r="B75" s="19">
        <f>+D53</f>
        <v>15000000</v>
      </c>
      <c r="C75" s="4"/>
      <c r="D75" s="4"/>
      <c r="F75" s="74"/>
      <c r="G75" s="74"/>
      <c r="H75" s="74"/>
      <c r="I75" s="74"/>
      <c r="J75" s="74"/>
      <c r="K75" s="74"/>
      <c r="L75" s="74"/>
      <c r="M75" s="75"/>
      <c r="N75" s="75"/>
    </row>
    <row r="76" spans="1:14" ht="15">
      <c r="A76" s="11" t="s">
        <v>21</v>
      </c>
      <c r="B76" s="6">
        <f>+B74-B75</f>
        <v>98648681.586</v>
      </c>
      <c r="F76" s="74"/>
      <c r="G76" s="74"/>
      <c r="H76" s="74"/>
      <c r="I76" s="74"/>
      <c r="J76" s="74"/>
      <c r="K76" s="74"/>
      <c r="L76" s="74"/>
      <c r="M76" s="75"/>
      <c r="N76" s="75"/>
    </row>
    <row r="77" spans="1:14" ht="15">
      <c r="A77" s="7" t="s">
        <v>36</v>
      </c>
      <c r="B77" s="15">
        <f>+ROUND(B76*95%/1,0)*1</f>
        <v>93716248</v>
      </c>
      <c r="C77" s="24"/>
      <c r="F77" s="74"/>
      <c r="G77" s="74"/>
      <c r="H77" s="74"/>
      <c r="I77" s="74"/>
      <c r="J77" s="74"/>
      <c r="K77" s="74"/>
      <c r="L77" s="74"/>
      <c r="M77" s="75"/>
      <c r="N77" s="75"/>
    </row>
    <row r="78" spans="1:14" ht="15">
      <c r="A78" s="7" t="s">
        <v>37</v>
      </c>
      <c r="B78" s="15"/>
      <c r="C78" s="24"/>
      <c r="F78" s="74"/>
      <c r="G78" s="74"/>
      <c r="H78" s="74"/>
      <c r="I78" s="74"/>
      <c r="J78" s="74"/>
      <c r="K78" s="74"/>
      <c r="L78" s="74"/>
      <c r="M78" s="75"/>
      <c r="N78" s="75"/>
    </row>
    <row r="79" spans="1:14" ht="15">
      <c r="A79" s="7" t="s">
        <v>38</v>
      </c>
      <c r="B79" s="15">
        <f>+ROUND(B76*5%/1,0)*1</f>
        <v>4932434</v>
      </c>
      <c r="C79" s="24"/>
      <c r="D79" s="4"/>
      <c r="F79" s="74"/>
      <c r="G79" s="74"/>
      <c r="H79" s="78"/>
      <c r="I79" s="78"/>
      <c r="J79" s="78"/>
      <c r="K79" s="74"/>
      <c r="L79" s="78"/>
      <c r="M79" s="75"/>
      <c r="N79" s="75"/>
    </row>
    <row r="80" spans="1:14" ht="15">
      <c r="A80" s="11" t="s">
        <v>39</v>
      </c>
      <c r="B80" s="6">
        <f>+B70+B73</f>
        <v>47574678.414</v>
      </c>
      <c r="C80" s="4"/>
      <c r="D80" s="4"/>
      <c r="F80" s="74"/>
      <c r="G80" s="74"/>
      <c r="H80" s="78"/>
      <c r="I80" s="78"/>
      <c r="J80" s="78"/>
      <c r="K80" s="78"/>
      <c r="L80" s="78"/>
      <c r="M80" s="75"/>
      <c r="N80" s="75"/>
    </row>
    <row r="81" spans="1:14" ht="15">
      <c r="A81" s="11" t="s">
        <v>40</v>
      </c>
      <c r="B81" s="6">
        <f>+B75+B76+B80</f>
        <v>161223360</v>
      </c>
      <c r="F81" s="74"/>
      <c r="G81" s="74"/>
      <c r="H81" s="78"/>
      <c r="I81" s="78"/>
      <c r="J81" s="78"/>
      <c r="K81" s="74"/>
      <c r="L81" s="78"/>
      <c r="M81" s="75"/>
      <c r="N81" s="75"/>
    </row>
    <row r="82" spans="1:14" ht="15">
      <c r="A82" s="25"/>
      <c r="B82" s="26"/>
      <c r="F82" s="74"/>
      <c r="G82" s="74"/>
      <c r="H82" s="78"/>
      <c r="I82" s="78"/>
      <c r="J82" s="78"/>
      <c r="K82" s="74"/>
      <c r="L82" s="78"/>
      <c r="M82" s="75"/>
      <c r="N82" s="75"/>
    </row>
    <row r="83" spans="1:14" ht="15">
      <c r="A83" s="7" t="s">
        <v>41</v>
      </c>
      <c r="B83" s="8"/>
      <c r="F83" s="74"/>
      <c r="G83" s="74"/>
      <c r="H83" s="78"/>
      <c r="I83" s="78"/>
      <c r="J83" s="78"/>
      <c r="K83" s="74"/>
      <c r="L83" s="78"/>
      <c r="M83" s="75"/>
      <c r="N83" s="75"/>
    </row>
    <row r="84" spans="1:14" ht="15">
      <c r="A84" s="11" t="s">
        <v>42</v>
      </c>
      <c r="B84" s="6">
        <f>SUM(B85:B88)</f>
        <v>113648682</v>
      </c>
      <c r="D84" s="27"/>
      <c r="F84" s="74"/>
      <c r="G84" s="74"/>
      <c r="H84" s="78"/>
      <c r="I84" s="78"/>
      <c r="J84" s="78"/>
      <c r="K84" s="74"/>
      <c r="L84" s="78"/>
      <c r="M84" s="75"/>
      <c r="N84" s="75"/>
    </row>
    <row r="85" spans="1:14" ht="15">
      <c r="A85" s="7" t="s">
        <v>43</v>
      </c>
      <c r="B85" s="19">
        <f>+B77</f>
        <v>93716248</v>
      </c>
      <c r="C85" s="28"/>
      <c r="D85" s="27"/>
      <c r="F85" s="74"/>
      <c r="G85" s="74"/>
      <c r="H85" s="78"/>
      <c r="I85" s="78"/>
      <c r="J85" s="78"/>
      <c r="K85" s="74"/>
      <c r="L85" s="78"/>
      <c r="M85" s="75"/>
      <c r="N85" s="75"/>
    </row>
    <row r="86" spans="1:14" ht="15">
      <c r="A86" s="7" t="s">
        <v>44</v>
      </c>
      <c r="B86" s="19">
        <f>+B75</f>
        <v>15000000</v>
      </c>
      <c r="C86" s="27" t="e">
        <f>+#REF!</f>
        <v>#REF!</v>
      </c>
      <c r="D86" s="27"/>
      <c r="F86" s="74"/>
      <c r="G86" s="74"/>
      <c r="H86" s="78"/>
      <c r="I86" s="78"/>
      <c r="J86" s="78"/>
      <c r="K86" s="74"/>
      <c r="L86" s="78"/>
      <c r="M86" s="75"/>
      <c r="N86" s="75"/>
    </row>
    <row r="87" spans="1:12" ht="15">
      <c r="A87" s="7" t="s">
        <v>45</v>
      </c>
      <c r="B87" s="19">
        <f>+B78</f>
        <v>0</v>
      </c>
      <c r="C87" s="27" t="e">
        <f>+#REF!</f>
        <v>#REF!</v>
      </c>
      <c r="H87" s="4"/>
      <c r="I87" s="4"/>
      <c r="J87" s="4"/>
      <c r="L87" s="4"/>
    </row>
    <row r="88" spans="1:12" ht="15">
      <c r="A88" s="7" t="s">
        <v>46</v>
      </c>
      <c r="B88" s="19">
        <f>+B79</f>
        <v>4932434</v>
      </c>
      <c r="C88" s="27" t="e">
        <f>+#REF!</f>
        <v>#REF!</v>
      </c>
      <c r="D88" s="29"/>
      <c r="E88" s="2"/>
      <c r="F88" s="30"/>
      <c r="H88" s="4"/>
      <c r="I88" s="4"/>
      <c r="J88" s="4"/>
      <c r="L88" s="4"/>
    </row>
    <row r="89" spans="1:12" ht="15">
      <c r="A89" s="11" t="s">
        <v>47</v>
      </c>
      <c r="B89" s="6">
        <f>+B90+B105</f>
        <v>47574678.414</v>
      </c>
      <c r="C89" s="31"/>
      <c r="D89" s="29"/>
      <c r="E89" s="2"/>
      <c r="F89" s="30"/>
      <c r="H89" s="4"/>
      <c r="I89" s="4"/>
      <c r="J89" s="4"/>
      <c r="L89" s="4"/>
    </row>
    <row r="90" spans="1:12" ht="15">
      <c r="A90" s="11" t="s">
        <v>48</v>
      </c>
      <c r="B90" s="6">
        <f>SUM(B91:B95)</f>
        <v>3724678.414</v>
      </c>
      <c r="D90" s="29"/>
      <c r="E90" s="2"/>
      <c r="F90" s="30"/>
      <c r="H90" s="4"/>
      <c r="I90" s="4"/>
      <c r="J90" s="4"/>
      <c r="L90" s="4"/>
    </row>
    <row r="91" spans="1:12" ht="15">
      <c r="A91" s="7" t="s">
        <v>49</v>
      </c>
      <c r="B91" s="19">
        <f>+B71-B92</f>
        <v>0</v>
      </c>
      <c r="C91" s="9"/>
      <c r="D91" s="29"/>
      <c r="E91" s="2"/>
      <c r="F91" s="30"/>
      <c r="H91" s="4"/>
      <c r="I91" s="4"/>
      <c r="J91" s="4"/>
      <c r="K91" s="4"/>
      <c r="L91" s="4"/>
    </row>
    <row r="92" spans="1:12" ht="15">
      <c r="A92" s="7" t="s">
        <v>50</v>
      </c>
      <c r="B92" s="19">
        <f>ROUND(Költségvetés!B53*E9,0)</f>
        <v>0</v>
      </c>
      <c r="D92" s="29"/>
      <c r="E92" s="2"/>
      <c r="F92" s="30"/>
      <c r="H92" s="4"/>
      <c r="I92" s="4"/>
      <c r="J92" s="4"/>
      <c r="K92" s="4"/>
      <c r="L92" s="4"/>
    </row>
    <row r="93" spans="1:12" ht="15">
      <c r="A93" s="7" t="s">
        <v>51</v>
      </c>
      <c r="B93" s="19">
        <f>300000/2*12+520000</f>
        <v>2320000</v>
      </c>
      <c r="C93" s="4"/>
      <c r="D93" s="29"/>
      <c r="E93" s="2"/>
      <c r="F93" s="54"/>
      <c r="H93" s="4"/>
      <c r="I93" s="4"/>
      <c r="J93" s="4"/>
      <c r="K93" s="4"/>
      <c r="L93" s="4"/>
    </row>
    <row r="94" spans="1:12" ht="15">
      <c r="A94" s="7" t="s">
        <v>52</v>
      </c>
      <c r="B94" s="19">
        <v>500000</v>
      </c>
      <c r="D94" s="29"/>
      <c r="E94" s="2"/>
      <c r="F94" s="30"/>
      <c r="H94" s="4"/>
      <c r="I94" s="4"/>
      <c r="J94" s="4"/>
      <c r="K94" s="4"/>
      <c r="L94" s="4"/>
    </row>
    <row r="95" spans="1:12" ht="31.5">
      <c r="A95" s="7" t="s">
        <v>53</v>
      </c>
      <c r="B95" s="19">
        <f>'felügyeleti díj'!E29</f>
        <v>904678.4140000001</v>
      </c>
      <c r="C95" s="4"/>
      <c r="D95" s="29"/>
      <c r="E95" s="55"/>
      <c r="F95" s="54"/>
      <c r="H95" s="4"/>
      <c r="I95" s="4"/>
      <c r="J95" s="4"/>
      <c r="K95" s="4"/>
      <c r="L95" s="4"/>
    </row>
    <row r="96" spans="1:12" ht="30">
      <c r="A96" s="11" t="s">
        <v>54</v>
      </c>
      <c r="B96" s="6">
        <f>+B84+B90</f>
        <v>117373360.414</v>
      </c>
      <c r="D96" s="56"/>
      <c r="E96" s="4"/>
      <c r="F96" s="4"/>
      <c r="H96" s="4"/>
      <c r="I96" s="4"/>
      <c r="J96" s="4"/>
      <c r="K96" s="4"/>
      <c r="L96" s="4"/>
    </row>
    <row r="97" spans="1:12" ht="15">
      <c r="A97" s="11" t="s">
        <v>55</v>
      </c>
      <c r="B97" s="6">
        <f>+B98+B99</f>
        <v>35100000</v>
      </c>
      <c r="E97" s="4"/>
      <c r="F97" s="4"/>
      <c r="G97" s="57"/>
      <c r="H97" s="4"/>
      <c r="I97" s="4"/>
      <c r="J97" s="4"/>
      <c r="K97" s="4"/>
      <c r="L97" s="4"/>
    </row>
    <row r="98" spans="1:10" ht="15">
      <c r="A98" s="7" t="s">
        <v>56</v>
      </c>
      <c r="B98" s="19">
        <v>35000000</v>
      </c>
      <c r="F98" s="4"/>
      <c r="H98" s="4"/>
      <c r="I98" s="4"/>
      <c r="J98" s="4"/>
    </row>
    <row r="99" spans="1:9" ht="15">
      <c r="A99" s="7" t="s">
        <v>57</v>
      </c>
      <c r="B99" s="19">
        <v>100000</v>
      </c>
      <c r="D99" s="4"/>
      <c r="H99" s="4"/>
      <c r="I99" s="4"/>
    </row>
    <row r="100" spans="1:9" ht="15">
      <c r="A100" s="11" t="s">
        <v>58</v>
      </c>
      <c r="B100" s="6">
        <f>+B101+B103+B102</f>
        <v>8450000</v>
      </c>
      <c r="D100" s="4"/>
      <c r="H100" s="4"/>
      <c r="I100" s="4"/>
    </row>
    <row r="101" spans="1:9" ht="31.5" customHeight="1">
      <c r="A101" s="7" t="s">
        <v>59</v>
      </c>
      <c r="B101" s="19">
        <f>6200000-250000</f>
        <v>5950000</v>
      </c>
      <c r="D101" s="73"/>
      <c r="E101" s="73"/>
      <c r="F101" s="73"/>
      <c r="G101" s="73"/>
      <c r="H101" s="73"/>
      <c r="I101" s="4"/>
    </row>
    <row r="102" spans="1:9" ht="15">
      <c r="A102" s="53" t="s">
        <v>91</v>
      </c>
      <c r="B102" s="19">
        <v>100000</v>
      </c>
      <c r="D102" s="73"/>
      <c r="E102" s="73"/>
      <c r="F102" s="73"/>
      <c r="G102" s="73"/>
      <c r="H102" s="73"/>
      <c r="I102" s="4"/>
    </row>
    <row r="103" spans="1:9" ht="15">
      <c r="A103" s="7" t="s">
        <v>60</v>
      </c>
      <c r="B103" s="19">
        <v>2400000</v>
      </c>
      <c r="D103" s="73"/>
      <c r="E103" s="73"/>
      <c r="F103" s="73"/>
      <c r="G103" s="73"/>
      <c r="H103" s="73"/>
      <c r="I103" s="4"/>
    </row>
    <row r="104" spans="1:8" ht="15">
      <c r="A104" s="11" t="s">
        <v>61</v>
      </c>
      <c r="B104" s="6">
        <v>300000</v>
      </c>
      <c r="D104" s="73"/>
      <c r="E104" s="73"/>
      <c r="F104" s="73"/>
      <c r="G104" s="73"/>
      <c r="H104" s="73"/>
    </row>
    <row r="105" spans="1:8" ht="30">
      <c r="A105" s="11" t="s">
        <v>62</v>
      </c>
      <c r="B105" s="6">
        <f>+B97+B100+B104</f>
        <v>43850000</v>
      </c>
      <c r="D105" s="73"/>
      <c r="E105" s="73"/>
      <c r="F105" s="73"/>
      <c r="G105" s="73"/>
      <c r="H105" s="73"/>
    </row>
    <row r="106" spans="1:8" ht="15">
      <c r="A106" s="11" t="s">
        <v>63</v>
      </c>
      <c r="B106" s="6">
        <f>+B96+B105</f>
        <v>161223360.414</v>
      </c>
      <c r="C106" s="16">
        <f>+B81-B106</f>
        <v>-0.414000004529953</v>
      </c>
      <c r="D106" s="73"/>
      <c r="E106" s="73"/>
      <c r="F106" s="73"/>
      <c r="G106" s="73"/>
      <c r="H106" s="73"/>
    </row>
  </sheetData>
  <autoFilter ref="H1:J106"/>
  <mergeCells count="4">
    <mergeCell ref="A1:D3"/>
    <mergeCell ref="A38:D38"/>
    <mergeCell ref="A62:D62"/>
    <mergeCell ref="D101:H10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workbookViewId="0" topLeftCell="A1">
      <selection activeCell="E27" sqref="E27"/>
    </sheetView>
  </sheetViews>
  <sheetFormatPr defaultColWidth="10.8515625" defaultRowHeight="15"/>
  <cols>
    <col min="1" max="1" width="8.140625" style="32" bestFit="1" customWidth="1"/>
    <col min="2" max="2" width="55.7109375" style="2" bestFit="1" customWidth="1"/>
    <col min="3" max="3" width="16.28125" style="46" bestFit="1" customWidth="1"/>
    <col min="4" max="4" width="10.8515625" style="2" customWidth="1"/>
    <col min="5" max="5" width="16.28125" style="46" bestFit="1" customWidth="1"/>
    <col min="6" max="6" width="15.28125" style="46" bestFit="1" customWidth="1"/>
    <col min="7" max="7" width="10.8515625" style="2" customWidth="1"/>
    <col min="8" max="8" width="15.140625" style="2" bestFit="1" customWidth="1"/>
    <col min="9" max="16384" width="10.8515625" style="2" customWidth="1"/>
  </cols>
  <sheetData>
    <row r="1" spans="3:6" ht="15">
      <c r="C1" s="33"/>
      <c r="E1" s="33" t="s">
        <v>64</v>
      </c>
      <c r="F1" s="33" t="s">
        <v>65</v>
      </c>
    </row>
    <row r="2" spans="1:10" ht="15">
      <c r="A2" s="34">
        <v>9</v>
      </c>
      <c r="B2" s="35" t="s">
        <v>66</v>
      </c>
      <c r="C2" s="37">
        <f>+C3+C6+C21</f>
        <v>125618761</v>
      </c>
      <c r="D2" s="36" t="s">
        <v>67</v>
      </c>
      <c r="E2" s="37"/>
      <c r="F2" s="37"/>
      <c r="H2" s="30"/>
      <c r="I2" s="38"/>
      <c r="J2" s="38"/>
    </row>
    <row r="3" spans="1:10" ht="15">
      <c r="A3" s="39">
        <v>91</v>
      </c>
      <c r="B3" s="40" t="s">
        <v>68</v>
      </c>
      <c r="C3" s="42">
        <f>+C4+C5</f>
        <v>685505</v>
      </c>
      <c r="D3" s="41" t="s">
        <v>67</v>
      </c>
      <c r="E3" s="42"/>
      <c r="F3" s="42"/>
      <c r="I3" s="38"/>
      <c r="J3" s="38"/>
    </row>
    <row r="4" spans="1:10" ht="15">
      <c r="A4" s="43">
        <v>911</v>
      </c>
      <c r="B4" s="44" t="s">
        <v>69</v>
      </c>
      <c r="C4" s="63">
        <f>+C34</f>
        <v>602505</v>
      </c>
      <c r="D4" s="45" t="s">
        <v>67</v>
      </c>
      <c r="F4" s="46">
        <f>+C4</f>
        <v>602505</v>
      </c>
      <c r="I4" s="44"/>
      <c r="J4" s="44"/>
    </row>
    <row r="5" spans="1:10" ht="15">
      <c r="A5" s="32">
        <v>919</v>
      </c>
      <c r="B5" s="2" t="s">
        <v>70</v>
      </c>
      <c r="C5" s="63">
        <f>+C35</f>
        <v>83000</v>
      </c>
      <c r="D5" s="45" t="s">
        <v>67</v>
      </c>
      <c r="F5" s="46">
        <f>+C5</f>
        <v>83000</v>
      </c>
      <c r="I5" s="44"/>
      <c r="J5" s="44"/>
    </row>
    <row r="6" spans="1:10" ht="15">
      <c r="A6" s="39">
        <v>96</v>
      </c>
      <c r="B6" s="40" t="s">
        <v>71</v>
      </c>
      <c r="C6" s="42">
        <f>+C7+C19</f>
        <v>124781412</v>
      </c>
      <c r="D6" s="41" t="s">
        <v>67</v>
      </c>
      <c r="E6" s="42"/>
      <c r="F6" s="42"/>
      <c r="I6" s="38"/>
      <c r="J6" s="38"/>
    </row>
    <row r="7" spans="1:10" ht="15">
      <c r="A7" s="39">
        <v>967</v>
      </c>
      <c r="B7" s="40" t="s">
        <v>72</v>
      </c>
      <c r="C7" s="42">
        <f>+C8+C9+C10+C13</f>
        <v>124780348</v>
      </c>
      <c r="D7" s="41" t="s">
        <v>67</v>
      </c>
      <c r="E7" s="42"/>
      <c r="F7" s="42"/>
      <c r="I7" s="38"/>
      <c r="J7" s="38"/>
    </row>
    <row r="8" spans="1:10" ht="15">
      <c r="A8" s="32">
        <v>9671</v>
      </c>
      <c r="B8" s="2" t="s">
        <v>73</v>
      </c>
      <c r="C8" s="63">
        <f>+C38</f>
        <v>6351926</v>
      </c>
      <c r="D8" s="45" t="s">
        <v>67</v>
      </c>
      <c r="F8" s="46">
        <f>+C8</f>
        <v>6351926</v>
      </c>
      <c r="I8" s="44"/>
      <c r="J8" s="44"/>
    </row>
    <row r="9" spans="1:10" ht="15">
      <c r="A9" s="43">
        <v>9674</v>
      </c>
      <c r="B9" s="44" t="s">
        <v>74</v>
      </c>
      <c r="C9" s="63">
        <f>+C39</f>
        <v>60564660</v>
      </c>
      <c r="D9" s="45" t="s">
        <v>67</v>
      </c>
      <c r="F9" s="46">
        <f>+C9</f>
        <v>60564660</v>
      </c>
      <c r="I9" s="44"/>
      <c r="J9" s="44"/>
    </row>
    <row r="10" spans="1:10" ht="15">
      <c r="A10" s="39">
        <v>9677</v>
      </c>
      <c r="B10" s="40" t="s">
        <v>75</v>
      </c>
      <c r="C10" s="42">
        <f>+C11+C12</f>
        <v>420567</v>
      </c>
      <c r="D10" s="41" t="s">
        <v>67</v>
      </c>
      <c r="E10" s="42"/>
      <c r="F10" s="42"/>
      <c r="I10" s="38"/>
      <c r="J10" s="38"/>
    </row>
    <row r="11" spans="1:10" ht="15">
      <c r="A11" s="32">
        <v>96771</v>
      </c>
      <c r="B11" s="2" t="s">
        <v>76</v>
      </c>
      <c r="C11" s="63">
        <f>+C41</f>
        <v>253757</v>
      </c>
      <c r="D11" s="45" t="s">
        <v>67</v>
      </c>
      <c r="F11" s="46">
        <f>+C11</f>
        <v>253757</v>
      </c>
      <c r="I11" s="44"/>
      <c r="J11" s="44"/>
    </row>
    <row r="12" spans="1:10" ht="15">
      <c r="A12" s="32">
        <v>96772</v>
      </c>
      <c r="B12" s="2" t="s">
        <v>77</v>
      </c>
      <c r="C12" s="63">
        <f>+C42</f>
        <v>166810</v>
      </c>
      <c r="D12" s="45" t="s">
        <v>67</v>
      </c>
      <c r="F12" s="46">
        <f>+C12</f>
        <v>166810</v>
      </c>
      <c r="I12" s="44"/>
      <c r="J12" s="44"/>
    </row>
    <row r="13" spans="1:10" ht="15">
      <c r="A13" s="39">
        <v>9679</v>
      </c>
      <c r="B13" s="40" t="s">
        <v>78</v>
      </c>
      <c r="C13" s="42">
        <f>+C14+C15+C16</f>
        <v>57443195</v>
      </c>
      <c r="D13" s="41" t="s">
        <v>67</v>
      </c>
      <c r="E13" s="42"/>
      <c r="F13" s="42"/>
      <c r="I13" s="38"/>
      <c r="J13" s="38"/>
    </row>
    <row r="14" spans="1:10" ht="26.1" customHeight="1">
      <c r="A14" s="32">
        <v>967911</v>
      </c>
      <c r="B14" s="2" t="s">
        <v>79</v>
      </c>
      <c r="C14" s="46">
        <v>0</v>
      </c>
      <c r="D14" s="45" t="s">
        <v>67</v>
      </c>
      <c r="E14" s="46">
        <v>81621307</v>
      </c>
      <c r="H14" s="46">
        <f>+Költségvetés!B85</f>
        <v>93716248</v>
      </c>
      <c r="I14" s="38" t="s">
        <v>120</v>
      </c>
      <c r="J14" s="38"/>
    </row>
    <row r="15" spans="1:10" ht="15">
      <c r="A15" s="32">
        <v>967921</v>
      </c>
      <c r="B15" s="2" t="s">
        <v>80</v>
      </c>
      <c r="C15" s="46">
        <v>0</v>
      </c>
      <c r="D15" s="45" t="s">
        <v>67</v>
      </c>
      <c r="E15" s="46">
        <v>904678</v>
      </c>
      <c r="H15" s="46">
        <f>+Költségvetés!B95</f>
        <v>904678.4140000001</v>
      </c>
      <c r="I15" s="38" t="s">
        <v>121</v>
      </c>
      <c r="J15" s="38"/>
    </row>
    <row r="16" spans="1:10" ht="15">
      <c r="A16" s="39">
        <v>967924</v>
      </c>
      <c r="B16" s="40" t="s">
        <v>81</v>
      </c>
      <c r="C16" s="42">
        <f>+C17+C18</f>
        <v>57443195</v>
      </c>
      <c r="D16" s="41" t="s">
        <v>67</v>
      </c>
      <c r="E16" s="42"/>
      <c r="F16" s="42"/>
      <c r="I16" s="38"/>
      <c r="J16" s="38"/>
    </row>
    <row r="17" spans="1:10" ht="15">
      <c r="A17" s="58" t="s">
        <v>92</v>
      </c>
      <c r="B17" s="2" t="s">
        <v>82</v>
      </c>
      <c r="C17" s="46">
        <f>+C47</f>
        <v>39549190</v>
      </c>
      <c r="D17" s="45" t="s">
        <v>67</v>
      </c>
      <c r="E17" s="46">
        <f>+C17</f>
        <v>39549190</v>
      </c>
      <c r="I17" s="44"/>
      <c r="J17" s="44"/>
    </row>
    <row r="18" spans="1:10" ht="15">
      <c r="A18" s="58" t="s">
        <v>93</v>
      </c>
      <c r="B18" s="2" t="s">
        <v>83</v>
      </c>
      <c r="C18" s="46">
        <f>+C48</f>
        <v>17894005</v>
      </c>
      <c r="D18" s="45" t="s">
        <v>67</v>
      </c>
      <c r="E18" s="46">
        <f>+C18</f>
        <v>17894005</v>
      </c>
      <c r="I18" s="44"/>
      <c r="J18" s="44"/>
    </row>
    <row r="19" spans="1:10" ht="15">
      <c r="A19" s="39">
        <v>969</v>
      </c>
      <c r="B19" s="40" t="s">
        <v>84</v>
      </c>
      <c r="C19" s="42">
        <f>+C20</f>
        <v>1064</v>
      </c>
      <c r="D19" s="41" t="s">
        <v>67</v>
      </c>
      <c r="E19" s="42"/>
      <c r="F19" s="42"/>
      <c r="I19" s="38"/>
      <c r="J19" s="38"/>
    </row>
    <row r="20" spans="1:10" ht="15">
      <c r="A20" s="32">
        <v>9696</v>
      </c>
      <c r="B20" s="2" t="s">
        <v>85</v>
      </c>
      <c r="C20" s="46">
        <f>+C50</f>
        <v>1064</v>
      </c>
      <c r="D20" s="45" t="s">
        <v>67</v>
      </c>
      <c r="E20" s="46">
        <f>+C20</f>
        <v>1064</v>
      </c>
      <c r="I20" s="44"/>
      <c r="J20" s="44"/>
    </row>
    <row r="21" spans="1:10" ht="15">
      <c r="A21" s="39">
        <v>97</v>
      </c>
      <c r="B21" s="40" t="s">
        <v>86</v>
      </c>
      <c r="C21" s="42">
        <f>+C22+C24</f>
        <v>151844</v>
      </c>
      <c r="D21" s="41" t="s">
        <v>67</v>
      </c>
      <c r="E21" s="42"/>
      <c r="F21" s="42"/>
      <c r="I21" s="38"/>
      <c r="J21" s="38"/>
    </row>
    <row r="22" spans="1:10" ht="15">
      <c r="A22" s="39">
        <v>974</v>
      </c>
      <c r="B22" s="40" t="s">
        <v>87</v>
      </c>
      <c r="C22" s="42">
        <f>+C23</f>
        <v>38456</v>
      </c>
      <c r="D22" s="41" t="s">
        <v>67</v>
      </c>
      <c r="E22" s="42"/>
      <c r="F22" s="42"/>
      <c r="I22" s="38"/>
      <c r="J22" s="38"/>
    </row>
    <row r="23" spans="1:10" ht="15">
      <c r="A23" s="32">
        <v>9741</v>
      </c>
      <c r="B23" s="2" t="s">
        <v>88</v>
      </c>
      <c r="C23" s="46">
        <f>+C53</f>
        <v>38456</v>
      </c>
      <c r="D23" s="45" t="s">
        <v>67</v>
      </c>
      <c r="E23" s="46">
        <f>+C23</f>
        <v>38456</v>
      </c>
      <c r="I23" s="44"/>
      <c r="J23" s="44"/>
    </row>
    <row r="24" spans="1:10" ht="15">
      <c r="A24" s="47">
        <v>976</v>
      </c>
      <c r="B24" s="48" t="s">
        <v>89</v>
      </c>
      <c r="C24" s="42">
        <f>+C25</f>
        <v>113388</v>
      </c>
      <c r="D24" s="41" t="s">
        <v>67</v>
      </c>
      <c r="E24" s="42"/>
      <c r="F24" s="42"/>
      <c r="I24" s="38"/>
      <c r="J24" s="38"/>
    </row>
    <row r="25" spans="1:10" ht="15">
      <c r="A25" s="43">
        <v>9761</v>
      </c>
      <c r="B25" s="44" t="s">
        <v>90</v>
      </c>
      <c r="C25" s="46">
        <f>+C55</f>
        <v>113388</v>
      </c>
      <c r="D25" s="45" t="s">
        <v>67</v>
      </c>
      <c r="E25" s="46">
        <f>+C25</f>
        <v>113388</v>
      </c>
      <c r="I25" s="44"/>
      <c r="J25" s="44"/>
    </row>
    <row r="26" spans="1:6" ht="15">
      <c r="A26" s="49"/>
      <c r="B26" s="50"/>
      <c r="C26" s="51"/>
      <c r="D26" s="50"/>
      <c r="E26" s="51">
        <f>SUM(E2:E25)</f>
        <v>140122088</v>
      </c>
      <c r="F26" s="51">
        <f>SUM(F2:F25)</f>
        <v>68022658</v>
      </c>
    </row>
    <row r="27" spans="5:6" ht="15">
      <c r="E27" s="46">
        <f>E26*E1</f>
        <v>700610.4400000001</v>
      </c>
      <c r="F27" s="46">
        <f>F26*F1</f>
        <v>204067.97400000002</v>
      </c>
    </row>
    <row r="29" ht="15">
      <c r="E29" s="46">
        <f>E27+F27</f>
        <v>904678.4140000001</v>
      </c>
    </row>
    <row r="31" ht="15">
      <c r="E31" s="46">
        <f>+E15-E29</f>
        <v>-0.4140000001061708</v>
      </c>
    </row>
    <row r="32" spans="1:12" ht="15">
      <c r="A32" s="65" t="s">
        <v>123</v>
      </c>
      <c r="B32" s="65" t="s">
        <v>66</v>
      </c>
      <c r="C32" s="66">
        <v>211743759</v>
      </c>
      <c r="F32" s="66">
        <v>211743753</v>
      </c>
      <c r="G32" s="67" t="s">
        <v>67</v>
      </c>
      <c r="K32" s="66"/>
      <c r="L32" s="67"/>
    </row>
    <row r="33" spans="1:12" ht="15">
      <c r="A33" s="59" t="s">
        <v>98</v>
      </c>
      <c r="B33" s="59" t="s">
        <v>68</v>
      </c>
      <c r="C33" s="63">
        <f aca="true" t="shared" si="0" ref="C33:C42">+F33</f>
        <v>685505</v>
      </c>
      <c r="D33" s="61" t="s">
        <v>67</v>
      </c>
      <c r="E33" s="2"/>
      <c r="F33" s="60">
        <v>685505</v>
      </c>
      <c r="G33" s="61" t="s">
        <v>67</v>
      </c>
      <c r="I33" s="59"/>
      <c r="J33" s="59"/>
      <c r="K33" s="60"/>
      <c r="L33" s="61"/>
    </row>
    <row r="34" spans="1:12" ht="15">
      <c r="A34" s="62" t="s">
        <v>99</v>
      </c>
      <c r="B34" s="62" t="s">
        <v>69</v>
      </c>
      <c r="C34" s="63">
        <f t="shared" si="0"/>
        <v>602505</v>
      </c>
      <c r="D34" s="64" t="s">
        <v>67</v>
      </c>
      <c r="E34" s="2"/>
      <c r="F34" s="63">
        <v>602505</v>
      </c>
      <c r="G34" s="64" t="s">
        <v>67</v>
      </c>
      <c r="I34" s="62"/>
      <c r="J34" s="62"/>
      <c r="K34" s="63"/>
      <c r="L34" s="64"/>
    </row>
    <row r="35" spans="1:12" ht="15">
      <c r="A35" s="62" t="s">
        <v>100</v>
      </c>
      <c r="B35" s="62" t="s">
        <v>70</v>
      </c>
      <c r="C35" s="63">
        <f t="shared" si="0"/>
        <v>83000</v>
      </c>
      <c r="D35" s="64" t="s">
        <v>67</v>
      </c>
      <c r="E35" s="2"/>
      <c r="F35" s="63">
        <v>83000</v>
      </c>
      <c r="G35" s="64" t="s">
        <v>67</v>
      </c>
      <c r="I35" s="62"/>
      <c r="J35" s="62"/>
      <c r="K35" s="63"/>
      <c r="L35" s="64"/>
    </row>
    <row r="36" spans="1:12" ht="15">
      <c r="A36" s="59" t="s">
        <v>101</v>
      </c>
      <c r="B36" s="59" t="s">
        <v>71</v>
      </c>
      <c r="C36" s="63">
        <f t="shared" si="0"/>
        <v>124781412</v>
      </c>
      <c r="D36" s="61" t="s">
        <v>67</v>
      </c>
      <c r="E36" s="2"/>
      <c r="F36" s="60">
        <v>124781412</v>
      </c>
      <c r="G36" s="61" t="s">
        <v>67</v>
      </c>
      <c r="I36" s="59"/>
      <c r="J36" s="59"/>
      <c r="K36" s="60"/>
      <c r="L36" s="61"/>
    </row>
    <row r="37" spans="1:12" ht="15">
      <c r="A37" s="59" t="s">
        <v>102</v>
      </c>
      <c r="B37" s="59" t="s">
        <v>72</v>
      </c>
      <c r="C37" s="63">
        <f t="shared" si="0"/>
        <v>124780348</v>
      </c>
      <c r="D37" s="61" t="s">
        <v>67</v>
      </c>
      <c r="E37" s="2"/>
      <c r="F37" s="60">
        <v>124780348</v>
      </c>
      <c r="G37" s="61" t="s">
        <v>67</v>
      </c>
      <c r="I37" s="59"/>
      <c r="J37" s="59"/>
      <c r="K37" s="60"/>
      <c r="L37" s="61"/>
    </row>
    <row r="38" spans="1:12" ht="15">
      <c r="A38" s="62" t="s">
        <v>103</v>
      </c>
      <c r="B38" s="62" t="s">
        <v>73</v>
      </c>
      <c r="C38" s="63">
        <f t="shared" si="0"/>
        <v>6351926</v>
      </c>
      <c r="D38" s="64" t="s">
        <v>67</v>
      </c>
      <c r="E38" s="2"/>
      <c r="F38" s="63">
        <v>6351926</v>
      </c>
      <c r="G38" s="64" t="s">
        <v>67</v>
      </c>
      <c r="I38" s="62"/>
      <c r="J38" s="62"/>
      <c r="K38" s="63"/>
      <c r="L38" s="64"/>
    </row>
    <row r="39" spans="1:12" ht="15">
      <c r="A39" s="62" t="s">
        <v>104</v>
      </c>
      <c r="B39" s="62" t="s">
        <v>105</v>
      </c>
      <c r="C39" s="63">
        <f t="shared" si="0"/>
        <v>60564660</v>
      </c>
      <c r="D39" s="64" t="s">
        <v>67</v>
      </c>
      <c r="E39" s="2"/>
      <c r="F39" s="63">
        <v>60564660</v>
      </c>
      <c r="G39" s="64" t="s">
        <v>67</v>
      </c>
      <c r="I39" s="62"/>
      <c r="J39" s="62"/>
      <c r="K39" s="63"/>
      <c r="L39" s="64"/>
    </row>
    <row r="40" spans="1:12" ht="15">
      <c r="A40" s="59" t="s">
        <v>106</v>
      </c>
      <c r="B40" s="59" t="s">
        <v>75</v>
      </c>
      <c r="C40" s="63">
        <f t="shared" si="0"/>
        <v>420567</v>
      </c>
      <c r="D40" s="61" t="s">
        <v>67</v>
      </c>
      <c r="E40" s="2"/>
      <c r="F40" s="60">
        <v>420567</v>
      </c>
      <c r="G40" s="61" t="s">
        <v>67</v>
      </c>
      <c r="I40" s="59"/>
      <c r="J40" s="59"/>
      <c r="K40" s="60"/>
      <c r="L40" s="61"/>
    </row>
    <row r="41" spans="1:12" ht="15">
      <c r="A41" s="62" t="s">
        <v>107</v>
      </c>
      <c r="B41" s="62" t="s">
        <v>76</v>
      </c>
      <c r="C41" s="63">
        <f t="shared" si="0"/>
        <v>253757</v>
      </c>
      <c r="D41" s="64" t="s">
        <v>67</v>
      </c>
      <c r="E41" s="2"/>
      <c r="F41" s="63">
        <v>253757</v>
      </c>
      <c r="G41" s="64" t="s">
        <v>67</v>
      </c>
      <c r="I41" s="62"/>
      <c r="J41" s="62"/>
      <c r="K41" s="63"/>
      <c r="L41" s="64"/>
    </row>
    <row r="42" spans="1:12" ht="15">
      <c r="A42" s="62" t="s">
        <v>108</v>
      </c>
      <c r="B42" s="62" t="s">
        <v>77</v>
      </c>
      <c r="C42" s="63">
        <f t="shared" si="0"/>
        <v>166810</v>
      </c>
      <c r="D42" s="64" t="s">
        <v>67</v>
      </c>
      <c r="E42" s="2"/>
      <c r="F42" s="63">
        <v>166810</v>
      </c>
      <c r="G42" s="64" t="s">
        <v>67</v>
      </c>
      <c r="I42" s="62"/>
      <c r="J42" s="62"/>
      <c r="K42" s="63"/>
      <c r="L42" s="64"/>
    </row>
    <row r="43" spans="1:12" ht="15">
      <c r="A43" s="59" t="s">
        <v>109</v>
      </c>
      <c r="B43" s="59" t="s">
        <v>78</v>
      </c>
      <c r="C43" s="60"/>
      <c r="D43" s="61" t="s">
        <v>67</v>
      </c>
      <c r="E43" s="2"/>
      <c r="F43" s="60">
        <v>145153412</v>
      </c>
      <c r="G43" s="61" t="s">
        <v>67</v>
      </c>
      <c r="I43" s="59"/>
      <c r="J43" s="59"/>
      <c r="K43" s="60"/>
      <c r="L43" s="61"/>
    </row>
    <row r="44" spans="1:12" ht="15">
      <c r="A44" s="62" t="s">
        <v>110</v>
      </c>
      <c r="B44" s="62" t="s">
        <v>80</v>
      </c>
      <c r="C44" s="63"/>
      <c r="D44" s="64" t="s">
        <v>67</v>
      </c>
      <c r="E44" s="2"/>
      <c r="F44" s="63">
        <v>94043177</v>
      </c>
      <c r="G44" s="64" t="s">
        <v>67</v>
      </c>
      <c r="I44" s="59"/>
      <c r="J44" s="59"/>
      <c r="K44" s="60"/>
      <c r="L44" s="61"/>
    </row>
    <row r="45" spans="1:12" ht="15">
      <c r="A45" s="62" t="s">
        <v>110</v>
      </c>
      <c r="B45" s="62" t="s">
        <v>80</v>
      </c>
      <c r="C45" s="63"/>
      <c r="D45" s="64"/>
      <c r="E45" s="2"/>
      <c r="F45" s="63">
        <v>925646</v>
      </c>
      <c r="G45" s="64" t="s">
        <v>67</v>
      </c>
      <c r="I45" s="62"/>
      <c r="J45" s="62"/>
      <c r="K45" s="63"/>
      <c r="L45" s="64"/>
    </row>
    <row r="46" spans="1:12" ht="15">
      <c r="A46" s="59" t="s">
        <v>111</v>
      </c>
      <c r="B46" s="59" t="s">
        <v>81</v>
      </c>
      <c r="C46" s="63">
        <f aca="true" t="shared" si="1" ref="C46:C55">+F46</f>
        <v>57443195</v>
      </c>
      <c r="D46" s="61" t="s">
        <v>67</v>
      </c>
      <c r="E46" s="2"/>
      <c r="F46" s="60">
        <v>57443195</v>
      </c>
      <c r="G46" s="61" t="s">
        <v>67</v>
      </c>
      <c r="I46" s="62"/>
      <c r="J46" s="62"/>
      <c r="K46" s="63"/>
      <c r="L46" s="64"/>
    </row>
    <row r="47" spans="1:12" ht="15">
      <c r="A47" s="62" t="s">
        <v>92</v>
      </c>
      <c r="B47" s="62" t="s">
        <v>82</v>
      </c>
      <c r="C47" s="63">
        <f t="shared" si="1"/>
        <v>39549190</v>
      </c>
      <c r="D47" s="64" t="s">
        <v>67</v>
      </c>
      <c r="E47" s="2"/>
      <c r="F47" s="63">
        <v>39549190</v>
      </c>
      <c r="G47" s="64" t="s">
        <v>67</v>
      </c>
      <c r="I47" s="59"/>
      <c r="J47" s="59"/>
      <c r="K47" s="60"/>
      <c r="L47" s="61"/>
    </row>
    <row r="48" spans="1:12" ht="15">
      <c r="A48" s="62" t="s">
        <v>93</v>
      </c>
      <c r="B48" s="62" t="s">
        <v>83</v>
      </c>
      <c r="C48" s="63">
        <f t="shared" si="1"/>
        <v>17894005</v>
      </c>
      <c r="D48" s="64" t="s">
        <v>67</v>
      </c>
      <c r="E48" s="2"/>
      <c r="F48" s="63">
        <v>17894005</v>
      </c>
      <c r="G48" s="64" t="s">
        <v>67</v>
      </c>
      <c r="I48" s="62"/>
      <c r="J48" s="62"/>
      <c r="K48" s="63"/>
      <c r="L48" s="64"/>
    </row>
    <row r="49" spans="1:12" ht="15">
      <c r="A49" s="59" t="s">
        <v>112</v>
      </c>
      <c r="B49" s="59" t="s">
        <v>84</v>
      </c>
      <c r="C49" s="63">
        <f t="shared" si="1"/>
        <v>1064</v>
      </c>
      <c r="D49" s="61" t="s">
        <v>67</v>
      </c>
      <c r="E49" s="2"/>
      <c r="F49" s="60">
        <v>1064</v>
      </c>
      <c r="G49" s="61" t="s">
        <v>67</v>
      </c>
      <c r="I49" s="59"/>
      <c r="J49" s="59"/>
      <c r="K49" s="60"/>
      <c r="L49" s="61"/>
    </row>
    <row r="50" spans="1:12" ht="15">
      <c r="A50" s="62" t="s">
        <v>113</v>
      </c>
      <c r="B50" s="62" t="s">
        <v>85</v>
      </c>
      <c r="C50" s="63">
        <f t="shared" si="1"/>
        <v>1064</v>
      </c>
      <c r="D50" s="64" t="s">
        <v>67</v>
      </c>
      <c r="E50" s="2"/>
      <c r="F50" s="63">
        <v>1064</v>
      </c>
      <c r="G50" s="64" t="s">
        <v>67</v>
      </c>
      <c r="I50" s="59"/>
      <c r="J50" s="59"/>
      <c r="K50" s="60"/>
      <c r="L50" s="61"/>
    </row>
    <row r="51" spans="1:12" ht="15">
      <c r="A51" s="59" t="s">
        <v>114</v>
      </c>
      <c r="B51" s="59" t="s">
        <v>86</v>
      </c>
      <c r="C51" s="63">
        <f t="shared" si="1"/>
        <v>151844</v>
      </c>
      <c r="D51" s="61" t="s">
        <v>67</v>
      </c>
      <c r="E51" s="2"/>
      <c r="F51" s="60">
        <v>151844</v>
      </c>
      <c r="G51" s="61" t="s">
        <v>67</v>
      </c>
      <c r="I51" s="62"/>
      <c r="J51" s="62"/>
      <c r="K51" s="63"/>
      <c r="L51" s="64"/>
    </row>
    <row r="52" spans="1:12" ht="15">
      <c r="A52" s="59" t="s">
        <v>115</v>
      </c>
      <c r="B52" s="59" t="s">
        <v>87</v>
      </c>
      <c r="C52" s="63">
        <f t="shared" si="1"/>
        <v>38456</v>
      </c>
      <c r="D52" s="61" t="s">
        <v>67</v>
      </c>
      <c r="E52" s="2"/>
      <c r="F52" s="60">
        <v>38456</v>
      </c>
      <c r="G52" s="61" t="s">
        <v>67</v>
      </c>
      <c r="I52" s="59"/>
      <c r="J52" s="59"/>
      <c r="K52" s="60"/>
      <c r="L52" s="61"/>
    </row>
    <row r="53" spans="1:12" ht="15">
      <c r="A53" s="62" t="s">
        <v>116</v>
      </c>
      <c r="B53" s="62" t="s">
        <v>88</v>
      </c>
      <c r="C53" s="63">
        <f t="shared" si="1"/>
        <v>38456</v>
      </c>
      <c r="D53" s="64" t="s">
        <v>67</v>
      </c>
      <c r="E53" s="2"/>
      <c r="F53" s="63">
        <v>38456</v>
      </c>
      <c r="G53" s="64" t="s">
        <v>67</v>
      </c>
      <c r="I53" s="68"/>
      <c r="J53" s="68"/>
      <c r="K53" s="69"/>
      <c r="L53" s="70"/>
    </row>
    <row r="54" spans="1:7" ht="15">
      <c r="A54" s="59" t="s">
        <v>117</v>
      </c>
      <c r="B54" s="59" t="s">
        <v>89</v>
      </c>
      <c r="C54" s="63">
        <f t="shared" si="1"/>
        <v>113388</v>
      </c>
      <c r="D54" s="61" t="s">
        <v>118</v>
      </c>
      <c r="E54" s="2"/>
      <c r="F54" s="60">
        <v>113388</v>
      </c>
      <c r="G54" s="61" t="s">
        <v>67</v>
      </c>
    </row>
    <row r="55" spans="1:7" ht="15">
      <c r="A55" s="62" t="s">
        <v>119</v>
      </c>
      <c r="B55" s="62" t="s">
        <v>90</v>
      </c>
      <c r="C55" s="63">
        <f t="shared" si="1"/>
        <v>113388</v>
      </c>
      <c r="D55" s="64" t="s">
        <v>118</v>
      </c>
      <c r="F55" s="69">
        <v>113388</v>
      </c>
      <c r="G55" s="64" t="s">
        <v>67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Zeley Kata</dc:creator>
  <cp:keywords/>
  <dc:description/>
  <cp:lastModifiedBy>MISZJE</cp:lastModifiedBy>
  <dcterms:created xsi:type="dcterms:W3CDTF">2020-05-12T14:51:24Z</dcterms:created>
  <dcterms:modified xsi:type="dcterms:W3CDTF">2023-05-19T15:44:48Z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031559-ef28-4101-9dff-d9463877199a_Enabled">
    <vt:lpwstr>true</vt:lpwstr>
  </property>
  <property fmtid="{D5CDD505-2E9C-101B-9397-08002B2CF9AE}" pid="3" name="MSIP_Label_ff031559-ef28-4101-9dff-d9463877199a_SetDate">
    <vt:lpwstr>2021-05-20T14:21:16Z</vt:lpwstr>
  </property>
  <property fmtid="{D5CDD505-2E9C-101B-9397-08002B2CF9AE}" pid="4" name="MSIP_Label_ff031559-ef28-4101-9dff-d9463877199a_Method">
    <vt:lpwstr>Privileged</vt:lpwstr>
  </property>
  <property fmtid="{D5CDD505-2E9C-101B-9397-08002B2CF9AE}" pid="5" name="MSIP_Label_ff031559-ef28-4101-9dff-d9463877199a_Name">
    <vt:lpwstr>Personal</vt:lpwstr>
  </property>
  <property fmtid="{D5CDD505-2E9C-101B-9397-08002B2CF9AE}" pid="6" name="MSIP_Label_ff031559-ef28-4101-9dff-d9463877199a_SiteId">
    <vt:lpwstr>33440fc6-b7c7-412c-bb73-0e70b0198d5a</vt:lpwstr>
  </property>
  <property fmtid="{D5CDD505-2E9C-101B-9397-08002B2CF9AE}" pid="7" name="MSIP_Label_ff031559-ef28-4101-9dff-d9463877199a_ActionId">
    <vt:lpwstr>05d0eaa2-9c24-4b0d-ba76-4046e93399ec</vt:lpwstr>
  </property>
  <property fmtid="{D5CDD505-2E9C-101B-9397-08002B2CF9AE}" pid="8" name="MSIP_Label_ff031559-ef28-4101-9dff-d9463877199a_ContentBits">
    <vt:lpwstr>0</vt:lpwstr>
  </property>
</Properties>
</file>